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tunlong\OneDrive - UGent\Research\Postdoc\Papers\Scheldt\Data analysis\Scheldt_visualization\"/>
    </mc:Choice>
  </mc:AlternateContent>
  <bookViews>
    <workbookView xWindow="-108" yWindow="-108" windowWidth="23256" windowHeight="12456"/>
  </bookViews>
  <sheets>
    <sheet name="data" sheetId="1" r:id="rId1"/>
    <sheet name="metadata" sheetId="2" r:id="rId2"/>
    <sheet name="depth" sheetId="3" r:id="rId3"/>
    <sheet name="ecotope" sheetId="4" r:id="rId4"/>
    <sheet name="meteorological data" sheetId="5" r:id="rId5"/>
    <sheet name="tide" sheetId="6" r:id="rId6"/>
    <sheet name="discharges" sheetId="7"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K79" i="7" l="1"/>
  <c r="AK76" i="7"/>
  <c r="AK73" i="7"/>
  <c r="AK72" i="7"/>
  <c r="AK70" i="7"/>
  <c r="AK68" i="7"/>
  <c r="AK67" i="7"/>
  <c r="AK66" i="7"/>
  <c r="AK65" i="7"/>
  <c r="AK64" i="7"/>
  <c r="AK62" i="7"/>
  <c r="AK61" i="7"/>
  <c r="AK60" i="7"/>
  <c r="AK59" i="7"/>
  <c r="AK42" i="7"/>
  <c r="AK40" i="7"/>
  <c r="AK36" i="7"/>
  <c r="AK35" i="7"/>
  <c r="AK32" i="7"/>
  <c r="AK31" i="7"/>
  <c r="AK30" i="7"/>
  <c r="AK33" i="7"/>
  <c r="AK34" i="7"/>
  <c r="AK37" i="7"/>
  <c r="AK38" i="7"/>
  <c r="AK39" i="7"/>
  <c r="AK41" i="7"/>
  <c r="AK43" i="7"/>
  <c r="AK44" i="7"/>
  <c r="AK45" i="7"/>
  <c r="AK46" i="7"/>
  <c r="AK47" i="7"/>
  <c r="AK48" i="7"/>
  <c r="AK49" i="7"/>
  <c r="AK50" i="7"/>
  <c r="AK51" i="7"/>
  <c r="AK57" i="7"/>
  <c r="AK58" i="7"/>
  <c r="AK63" i="7"/>
  <c r="AK69" i="7"/>
  <c r="AK71" i="7"/>
  <c r="AK74" i="7"/>
  <c r="AK75" i="7"/>
  <c r="AK77" i="7"/>
  <c r="AK78" i="7"/>
  <c r="AK29" i="7"/>
  <c r="AI79" i="7"/>
  <c r="AI76" i="7"/>
  <c r="AI73" i="7"/>
  <c r="AI72" i="7"/>
  <c r="AI70" i="7"/>
  <c r="AI68" i="7"/>
  <c r="AI67" i="7"/>
  <c r="AI66" i="7"/>
  <c r="AI65" i="7"/>
  <c r="AI64" i="7"/>
  <c r="AI62" i="7"/>
  <c r="AI61" i="7"/>
  <c r="AI60" i="7"/>
  <c r="AI59" i="7"/>
  <c r="AI42" i="7"/>
  <c r="AI40" i="7"/>
  <c r="AI36" i="7"/>
  <c r="AI35" i="7"/>
  <c r="AI32" i="7"/>
  <c r="AI31" i="7"/>
  <c r="AI30" i="7"/>
  <c r="AI33" i="7"/>
  <c r="AI34" i="7"/>
  <c r="AI37" i="7"/>
  <c r="AI38" i="7"/>
  <c r="AI39" i="7"/>
  <c r="AI41" i="7"/>
  <c r="AI43" i="7"/>
  <c r="AI44" i="7"/>
  <c r="AI45" i="7"/>
  <c r="AI46" i="7"/>
  <c r="AI47" i="7"/>
  <c r="AI48" i="7"/>
  <c r="AI49" i="7"/>
  <c r="AI50" i="7"/>
  <c r="AI51" i="7"/>
  <c r="AI57" i="7"/>
  <c r="AI58" i="7"/>
  <c r="AI63" i="7"/>
  <c r="AI69" i="7"/>
  <c r="AI71" i="7"/>
  <c r="AI74" i="7"/>
  <c r="AI75" i="7"/>
  <c r="AI77" i="7"/>
  <c r="AI78" i="7"/>
  <c r="AI29" i="7"/>
  <c r="AG40" i="7"/>
  <c r="AG79" i="7"/>
  <c r="AG76" i="7"/>
  <c r="AG73" i="7"/>
  <c r="AG72" i="7"/>
  <c r="AG70" i="7"/>
  <c r="AG68" i="7"/>
  <c r="AG67" i="7"/>
  <c r="AG66" i="7"/>
  <c r="AG65" i="7"/>
  <c r="AG64" i="7"/>
  <c r="AG62" i="7"/>
  <c r="AG61" i="7"/>
  <c r="AG60" i="7"/>
  <c r="AG59" i="7"/>
  <c r="AG42" i="7"/>
  <c r="AG36" i="7"/>
  <c r="AG35" i="7"/>
  <c r="AG32" i="7"/>
  <c r="AG31" i="7"/>
  <c r="AG30" i="7"/>
  <c r="AG33" i="7"/>
  <c r="AG34" i="7"/>
  <c r="AG37" i="7"/>
  <c r="AG38" i="7"/>
  <c r="AG39" i="7"/>
  <c r="AG41" i="7"/>
  <c r="AG43" i="7"/>
  <c r="AG44" i="7"/>
  <c r="AG45" i="7"/>
  <c r="AG46" i="7"/>
  <c r="AG47" i="7"/>
  <c r="AG48" i="7"/>
  <c r="AG49" i="7"/>
  <c r="AG50" i="7"/>
  <c r="AG51" i="7"/>
  <c r="AG57" i="7"/>
  <c r="AG58" i="7"/>
  <c r="AG63" i="7"/>
  <c r="AG69" i="7"/>
  <c r="AG71" i="7"/>
  <c r="AG74" i="7"/>
  <c r="AG75" i="7"/>
  <c r="AG77" i="7"/>
  <c r="AG78" i="7"/>
  <c r="AG29" i="7"/>
  <c r="AE79" i="7"/>
  <c r="AE76" i="7"/>
  <c r="AE73" i="7"/>
  <c r="AE72" i="7"/>
  <c r="AE70" i="7"/>
  <c r="AE65" i="7"/>
  <c r="AE66" i="7"/>
  <c r="AE67" i="7"/>
  <c r="AE68" i="7"/>
  <c r="AE64" i="7"/>
  <c r="AE60" i="7"/>
  <c r="AE61" i="7"/>
  <c r="AE62" i="7"/>
  <c r="AE59" i="7"/>
  <c r="AE42" i="7"/>
  <c r="AE40" i="7"/>
  <c r="AE36" i="7"/>
  <c r="AE35" i="7"/>
  <c r="AE32" i="7"/>
  <c r="AE31" i="7"/>
  <c r="AE30" i="7"/>
  <c r="AE33" i="7"/>
  <c r="AE34" i="7"/>
  <c r="AE37" i="7"/>
  <c r="AE38" i="7"/>
  <c r="AE39" i="7"/>
  <c r="AE41" i="7"/>
  <c r="AE43" i="7"/>
  <c r="AE44" i="7"/>
  <c r="AE45" i="7"/>
  <c r="AE46" i="7"/>
  <c r="AE47" i="7"/>
  <c r="AE48" i="7"/>
  <c r="AE49" i="7"/>
  <c r="AE50" i="7"/>
  <c r="AE51" i="7"/>
  <c r="AE57" i="7"/>
  <c r="AE58" i="7"/>
  <c r="AE63" i="7"/>
  <c r="AE69" i="7"/>
  <c r="AE71" i="7"/>
  <c r="AE74" i="7"/>
  <c r="AE75" i="7"/>
  <c r="AE77" i="7"/>
  <c r="AE78" i="7"/>
  <c r="AE29" i="7"/>
  <c r="AC77" i="7"/>
  <c r="AC75" i="7"/>
  <c r="AC78" i="7"/>
  <c r="AC74" i="7"/>
  <c r="AC71" i="7"/>
  <c r="AC69" i="7"/>
  <c r="AC63" i="7"/>
  <c r="AC58" i="7"/>
  <c r="AC57" i="7"/>
  <c r="AC60" i="7"/>
  <c r="AC61" i="7"/>
  <c r="AC62" i="7"/>
  <c r="AC64" i="7"/>
  <c r="AC65" i="7"/>
  <c r="AC66" i="7"/>
  <c r="AC67" i="7"/>
  <c r="AC68" i="7"/>
  <c r="AC70" i="7"/>
  <c r="AC72" i="7"/>
  <c r="AC73" i="7"/>
  <c r="AC76" i="7"/>
  <c r="AC79" i="7"/>
  <c r="AC59" i="7"/>
  <c r="AC47" i="7"/>
  <c r="AC41" i="7"/>
  <c r="AC42" i="7"/>
  <c r="AC40" i="7"/>
  <c r="AC36" i="7"/>
  <c r="AC35" i="7"/>
  <c r="AC32" i="7"/>
  <c r="AC31" i="7"/>
  <c r="AC30" i="7"/>
  <c r="AC33" i="7"/>
  <c r="AC34" i="7"/>
  <c r="AC37" i="7"/>
  <c r="AC38" i="7"/>
  <c r="AC39" i="7"/>
  <c r="AC43" i="7"/>
  <c r="AC44" i="7"/>
  <c r="AC45" i="7"/>
  <c r="AC46" i="7"/>
  <c r="AC48" i="7"/>
  <c r="AC49" i="7"/>
  <c r="AC50" i="7"/>
  <c r="AC29" i="7"/>
  <c r="AA77" i="7"/>
  <c r="AA75" i="7"/>
  <c r="AA78" i="7"/>
  <c r="AA74" i="7"/>
  <c r="AA71" i="7"/>
  <c r="AA69" i="7"/>
  <c r="AA63" i="7"/>
  <c r="AA58" i="7"/>
  <c r="AA57" i="7"/>
  <c r="AA60" i="7"/>
  <c r="AA61" i="7"/>
  <c r="AA62" i="7"/>
  <c r="AA64" i="7"/>
  <c r="AA65" i="7"/>
  <c r="AA66" i="7"/>
  <c r="AA67" i="7"/>
  <c r="AA68" i="7"/>
  <c r="AA70" i="7"/>
  <c r="AA72" i="7"/>
  <c r="AA73" i="7"/>
  <c r="AA76" i="7"/>
  <c r="AA79" i="7"/>
  <c r="AA59" i="7"/>
  <c r="AA47" i="7"/>
  <c r="AA41" i="7"/>
  <c r="AA42" i="7"/>
  <c r="AA40" i="7"/>
  <c r="AA36" i="7"/>
  <c r="AA35" i="7"/>
  <c r="AA32" i="7"/>
  <c r="AA31" i="7"/>
  <c r="AA30" i="7"/>
  <c r="AA33" i="7"/>
  <c r="AA34" i="7"/>
  <c r="AA37" i="7"/>
  <c r="AA38" i="7"/>
  <c r="AA39" i="7"/>
  <c r="AA43" i="7"/>
  <c r="AA44" i="7"/>
  <c r="AA45" i="7"/>
  <c r="AA46" i="7"/>
  <c r="AA48" i="7"/>
  <c r="AA49" i="7"/>
  <c r="AA50" i="7"/>
  <c r="AA51" i="7"/>
  <c r="AA29" i="7"/>
  <c r="Y77" i="7"/>
  <c r="Y75" i="7"/>
  <c r="Y78" i="7"/>
  <c r="Y74" i="7"/>
  <c r="Y71" i="7"/>
  <c r="Y69" i="7"/>
  <c r="Y63" i="7"/>
  <c r="Y58" i="7"/>
  <c r="Y57" i="7"/>
  <c r="Y60" i="7"/>
  <c r="Y61" i="7"/>
  <c r="Y62" i="7"/>
  <c r="Y64" i="7"/>
  <c r="Y65" i="7"/>
  <c r="Y66" i="7"/>
  <c r="Y67" i="7"/>
  <c r="Y68" i="7"/>
  <c r="Y70" i="7"/>
  <c r="Y72" i="7"/>
  <c r="Y73" i="7"/>
  <c r="Y76" i="7"/>
  <c r="Y79" i="7"/>
  <c r="Y59" i="7"/>
  <c r="Y47" i="7"/>
  <c r="Y41" i="7"/>
  <c r="Y42" i="7"/>
  <c r="Y40" i="7"/>
  <c r="Y36" i="7"/>
  <c r="Y35" i="7"/>
  <c r="Y32" i="7"/>
  <c r="Y31" i="7"/>
  <c r="Y51" i="7"/>
  <c r="Y29" i="7"/>
  <c r="Y30" i="7"/>
  <c r="Y33" i="7"/>
  <c r="Y34" i="7"/>
  <c r="Y37" i="7"/>
  <c r="Y38" i="7"/>
  <c r="Y39" i="7"/>
  <c r="Y43" i="7"/>
  <c r="Y44" i="7"/>
  <c r="Y45" i="7"/>
  <c r="Y46" i="7"/>
  <c r="Y48" i="7"/>
  <c r="Y49" i="7"/>
  <c r="Y50" i="7"/>
  <c r="W77" i="7"/>
  <c r="W75" i="7"/>
  <c r="W78" i="7"/>
  <c r="W74" i="7"/>
  <c r="W71" i="7"/>
  <c r="W69" i="7"/>
  <c r="W63" i="7"/>
  <c r="W58" i="7"/>
  <c r="W57" i="7"/>
  <c r="W60" i="7"/>
  <c r="W61" i="7"/>
  <c r="W62" i="7"/>
  <c r="W64" i="7"/>
  <c r="W65" i="7"/>
  <c r="W66" i="7"/>
  <c r="W67" i="7"/>
  <c r="W68" i="7"/>
  <c r="W70" i="7"/>
  <c r="W72" i="7"/>
  <c r="W73" i="7"/>
  <c r="W76" i="7"/>
  <c r="W79" i="7"/>
  <c r="W59" i="7"/>
  <c r="W47" i="7"/>
  <c r="W41" i="7"/>
  <c r="W42" i="7"/>
  <c r="W40" i="7"/>
  <c r="W36" i="7"/>
  <c r="W35" i="7"/>
  <c r="W32" i="7"/>
  <c r="W31" i="7"/>
  <c r="W30" i="7"/>
  <c r="W33" i="7"/>
  <c r="W34" i="7"/>
  <c r="W37" i="7"/>
  <c r="W38" i="7"/>
  <c r="W39" i="7"/>
  <c r="W43" i="7"/>
  <c r="W44" i="7"/>
  <c r="W45" i="7"/>
  <c r="W46" i="7"/>
  <c r="W48" i="7"/>
  <c r="W49" i="7"/>
  <c r="W50" i="7"/>
  <c r="W51" i="7"/>
  <c r="W29" i="7"/>
  <c r="U79" i="7"/>
  <c r="U57" i="7"/>
  <c r="U58" i="7"/>
  <c r="U59" i="7"/>
  <c r="U60" i="7"/>
  <c r="U61" i="7"/>
  <c r="U62" i="7"/>
  <c r="U63" i="7"/>
  <c r="U64" i="7"/>
  <c r="U65" i="7"/>
  <c r="U66" i="7"/>
  <c r="U67" i="7"/>
  <c r="U68" i="7"/>
  <c r="U69" i="7"/>
  <c r="U70" i="7"/>
  <c r="U71" i="7"/>
  <c r="U72" i="7"/>
  <c r="U73" i="7"/>
  <c r="U74" i="7"/>
  <c r="U75" i="7"/>
  <c r="U76" i="7"/>
  <c r="U77" i="7"/>
  <c r="U78" i="7"/>
  <c r="U51" i="7"/>
  <c r="U29" i="7"/>
  <c r="U30" i="7"/>
  <c r="U31" i="7"/>
  <c r="U32" i="7"/>
  <c r="U33" i="7"/>
  <c r="U34" i="7"/>
  <c r="U35" i="7"/>
  <c r="U36" i="7"/>
  <c r="U37" i="7"/>
  <c r="U38" i="7"/>
  <c r="U39" i="7"/>
  <c r="U40" i="7"/>
  <c r="U41" i="7"/>
  <c r="U42" i="7"/>
  <c r="U43" i="7"/>
  <c r="U44" i="7"/>
  <c r="U45" i="7"/>
  <c r="U46" i="7"/>
  <c r="U47" i="7"/>
  <c r="U48" i="7"/>
  <c r="U49" i="7"/>
  <c r="U50" i="7"/>
  <c r="S79" i="7"/>
  <c r="S57" i="7"/>
  <c r="S51" i="7"/>
  <c r="S29" i="7"/>
  <c r="S30" i="7"/>
  <c r="S31" i="7"/>
  <c r="S32" i="7"/>
  <c r="S33" i="7"/>
  <c r="S34" i="7"/>
  <c r="S35" i="7"/>
  <c r="S36" i="7"/>
  <c r="S37" i="7"/>
  <c r="S38" i="7"/>
  <c r="S39" i="7"/>
  <c r="S40" i="7"/>
  <c r="S41" i="7"/>
  <c r="S42" i="7"/>
  <c r="S43" i="7"/>
  <c r="S44" i="7"/>
  <c r="S45" i="7"/>
  <c r="S46" i="7"/>
  <c r="S47" i="7"/>
  <c r="S48" i="7"/>
  <c r="S49" i="7"/>
  <c r="S50" i="7"/>
  <c r="S58" i="7"/>
  <c r="S59" i="7"/>
  <c r="S60" i="7"/>
  <c r="S61" i="7"/>
  <c r="S62" i="7"/>
  <c r="S63" i="7"/>
  <c r="S64" i="7"/>
  <c r="S65" i="7"/>
  <c r="S66" i="7"/>
  <c r="S67" i="7"/>
  <c r="S68" i="7"/>
  <c r="S69" i="7"/>
  <c r="S70" i="7"/>
  <c r="S71" i="7"/>
  <c r="S72" i="7"/>
  <c r="S73" i="7"/>
  <c r="S74" i="7"/>
  <c r="S75" i="7"/>
  <c r="S76" i="7"/>
  <c r="S77" i="7"/>
  <c r="S78" i="7"/>
  <c r="Q51" i="7"/>
  <c r="Q29" i="7"/>
  <c r="Q79" i="7"/>
  <c r="Q57" i="7"/>
  <c r="Q58" i="7"/>
  <c r="Q59" i="7"/>
  <c r="Q60" i="7"/>
  <c r="Q61" i="7"/>
  <c r="Q62" i="7"/>
  <c r="Q63" i="7"/>
  <c r="Q64" i="7"/>
  <c r="Q65" i="7"/>
  <c r="Q66" i="7"/>
  <c r="Q67" i="7"/>
  <c r="Q68" i="7"/>
  <c r="Q69" i="7"/>
  <c r="Q70" i="7"/>
  <c r="Q71" i="7"/>
  <c r="Q72" i="7"/>
  <c r="Q73" i="7"/>
  <c r="Q74" i="7"/>
  <c r="Q75" i="7"/>
  <c r="Q76" i="7"/>
  <c r="Q77" i="7"/>
  <c r="Q78" i="7"/>
  <c r="Q30" i="7"/>
  <c r="Q31" i="7"/>
  <c r="Q32" i="7"/>
  <c r="Q33" i="7"/>
  <c r="Q34" i="7"/>
  <c r="Q35" i="7"/>
  <c r="Q36" i="7"/>
  <c r="Q37" i="7"/>
  <c r="Q38" i="7"/>
  <c r="Q39" i="7"/>
  <c r="Q40" i="7"/>
  <c r="Q41" i="7"/>
  <c r="Q42" i="7"/>
  <c r="Q43" i="7"/>
  <c r="Q44" i="7"/>
  <c r="Q45" i="7"/>
  <c r="Q46" i="7"/>
  <c r="Q47" i="7"/>
  <c r="Q48" i="7"/>
  <c r="Q49" i="7"/>
  <c r="Q50" i="7"/>
  <c r="O58" i="7"/>
  <c r="O59" i="7"/>
  <c r="O60" i="7"/>
  <c r="O61" i="7"/>
  <c r="O62" i="7"/>
  <c r="O63" i="7"/>
  <c r="O64" i="7"/>
  <c r="O65" i="7"/>
  <c r="O66" i="7"/>
  <c r="O67" i="7"/>
  <c r="O68" i="7"/>
  <c r="O69" i="7"/>
  <c r="O70" i="7"/>
  <c r="O71" i="7"/>
  <c r="O72" i="7"/>
  <c r="O73" i="7"/>
  <c r="O74" i="7"/>
  <c r="O75" i="7"/>
  <c r="O76" i="7"/>
  <c r="O77" i="7"/>
  <c r="O78" i="7"/>
  <c r="O79" i="7"/>
  <c r="O57" i="7"/>
  <c r="O30" i="7"/>
  <c r="O31" i="7"/>
  <c r="O32" i="7"/>
  <c r="O33" i="7"/>
  <c r="O34" i="7"/>
  <c r="O35" i="7"/>
  <c r="O36" i="7"/>
  <c r="O37" i="7"/>
  <c r="O38" i="7"/>
  <c r="O39" i="7"/>
  <c r="O40" i="7"/>
  <c r="O41" i="7"/>
  <c r="O42" i="7"/>
  <c r="O43" i="7"/>
  <c r="O44" i="7"/>
  <c r="O45" i="7"/>
  <c r="O46" i="7"/>
  <c r="O47" i="7"/>
  <c r="O48" i="7"/>
  <c r="O49" i="7"/>
  <c r="O50" i="7"/>
  <c r="O51" i="7"/>
  <c r="O29" i="7"/>
  <c r="Q42" i="3"/>
  <c r="S42" i="3" s="1"/>
  <c r="F42" i="3"/>
  <c r="H42" i="3" s="1"/>
  <c r="S52" i="3"/>
  <c r="S51" i="3"/>
  <c r="H52" i="3"/>
  <c r="H51" i="3"/>
  <c r="H43" i="3"/>
  <c r="H37" i="3"/>
  <c r="S38" i="3"/>
  <c r="S30" i="3"/>
  <c r="S28" i="3"/>
  <c r="S27" i="3"/>
  <c r="H38" i="3"/>
  <c r="H34" i="3"/>
  <c r="H30" i="3"/>
  <c r="H28" i="3"/>
  <c r="H27" i="3"/>
  <c r="S26" i="3"/>
  <c r="S29" i="3"/>
  <c r="S31" i="3"/>
  <c r="S32" i="3"/>
  <c r="S33" i="3"/>
  <c r="S34" i="3"/>
  <c r="S35" i="3"/>
  <c r="S36" i="3"/>
  <c r="S37" i="3"/>
  <c r="S39" i="3"/>
  <c r="S40" i="3"/>
  <c r="S41" i="3"/>
  <c r="S43" i="3"/>
  <c r="S44" i="3"/>
  <c r="S25" i="3"/>
  <c r="H26" i="3"/>
  <c r="H29" i="3"/>
  <c r="H31" i="3"/>
  <c r="H32" i="3"/>
  <c r="H33" i="3"/>
  <c r="H35" i="3"/>
  <c r="H36" i="3"/>
  <c r="H39" i="3"/>
  <c r="H40" i="3"/>
  <c r="H41" i="3"/>
  <c r="H44" i="3"/>
  <c r="H25" i="3"/>
  <c r="T19" i="1"/>
  <c r="T11" i="1"/>
  <c r="T9" i="1"/>
  <c r="T4" i="1"/>
  <c r="T3" i="1"/>
  <c r="S29" i="1"/>
  <c r="S23" i="1"/>
  <c r="S4" i="1"/>
  <c r="S3" i="1"/>
  <c r="R17" i="1"/>
  <c r="T65" i="1"/>
  <c r="T64" i="1"/>
  <c r="T63" i="1"/>
  <c r="T62" i="1"/>
  <c r="T61" i="1"/>
  <c r="T60" i="1"/>
  <c r="T59" i="1"/>
  <c r="T58" i="1"/>
  <c r="T57" i="1"/>
  <c r="T56" i="1"/>
  <c r="T54" i="1"/>
  <c r="T53" i="1"/>
  <c r="T55" i="1"/>
  <c r="T52" i="1"/>
  <c r="T51" i="1"/>
  <c r="T50" i="1"/>
  <c r="T49" i="1"/>
  <c r="T48" i="1"/>
  <c r="T47" i="1"/>
  <c r="T46" i="1"/>
  <c r="T45" i="1"/>
  <c r="T44" i="1"/>
  <c r="T43" i="1"/>
  <c r="T42" i="1"/>
  <c r="T41" i="1"/>
  <c r="T40" i="1"/>
  <c r="T39" i="1"/>
  <c r="T38" i="1"/>
  <c r="T36" i="1"/>
  <c r="T35" i="1"/>
  <c r="T34" i="1"/>
  <c r="T24" i="1"/>
  <c r="AF24" i="1"/>
  <c r="AF26" i="1"/>
  <c r="AF25" i="1"/>
  <c r="AF21" i="1"/>
  <c r="AF22" i="1"/>
  <c r="AG23" i="1"/>
  <c r="AG20" i="1"/>
  <c r="AG19" i="1"/>
  <c r="AG18" i="1"/>
  <c r="AG17" i="1"/>
  <c r="AG16" i="1"/>
  <c r="AG15" i="1"/>
  <c r="AG14" i="1"/>
  <c r="T33" i="1"/>
  <c r="S33" i="1"/>
  <c r="R33" i="1"/>
  <c r="T32" i="1"/>
  <c r="T31" i="1"/>
  <c r="T30" i="1"/>
  <c r="T29" i="1"/>
  <c r="T28" i="1"/>
  <c r="T27" i="1"/>
  <c r="T26" i="1"/>
  <c r="T25" i="1"/>
  <c r="R22" i="1"/>
  <c r="T21" i="1"/>
  <c r="T23" i="1"/>
  <c r="R23" i="1"/>
  <c r="T20" i="1"/>
  <c r="R20" i="1"/>
  <c r="S19" i="1"/>
  <c r="S18" i="1"/>
  <c r="R18" i="1"/>
  <c r="S17" i="1"/>
  <c r="T16" i="1"/>
  <c r="S16" i="1"/>
  <c r="R16" i="1"/>
  <c r="T15" i="1"/>
  <c r="S15" i="1"/>
  <c r="R15" i="1"/>
  <c r="S14" i="1"/>
  <c r="R14" i="1"/>
  <c r="T13" i="1"/>
  <c r="S13" i="1"/>
  <c r="R13" i="1"/>
  <c r="T12" i="1"/>
  <c r="S12" i="1"/>
  <c r="R12" i="1"/>
  <c r="S11" i="1"/>
  <c r="R11" i="1"/>
  <c r="T10" i="1"/>
  <c r="S10" i="1"/>
  <c r="R10" i="1"/>
  <c r="R8" i="1"/>
  <c r="T7" i="1"/>
  <c r="S7" i="1"/>
  <c r="R7" i="1"/>
  <c r="T6" i="1"/>
  <c r="S6" i="1"/>
  <c r="R6" i="1"/>
  <c r="T5" i="1"/>
  <c r="S5" i="1"/>
  <c r="R5" i="1"/>
  <c r="R4" i="1"/>
  <c r="R3" i="1"/>
  <c r="S2" i="1"/>
  <c r="R2" i="1"/>
  <c r="AC81" i="7" l="1"/>
  <c r="AI81" i="7"/>
  <c r="AK81" i="7"/>
  <c r="AE81" i="7"/>
  <c r="AG81" i="7"/>
  <c r="AA81" i="7"/>
  <c r="Y81" i="7"/>
  <c r="W81" i="7"/>
  <c r="O81" i="7"/>
  <c r="Q81" i="7"/>
  <c r="S81" i="7"/>
  <c r="U81" i="7"/>
</calcChain>
</file>

<file path=xl/comments1.xml><?xml version="1.0" encoding="utf-8"?>
<comments xmlns="http://schemas.openxmlformats.org/spreadsheetml/2006/main">
  <authors>
    <author>Long Ho</author>
    <author>tc={7F86E9A7-33A5-4DC6-B119-A2492C43A9C4}</author>
  </authors>
  <commentList>
    <comment ref="C12" authorId="0" shapeId="0">
      <text>
        <r>
          <rPr>
            <b/>
            <sz val="9"/>
            <color indexed="81"/>
            <rFont val="Tahoma"/>
            <family val="2"/>
          </rPr>
          <t>Long Ho:</t>
        </r>
        <r>
          <rPr>
            <sz val="9"/>
            <color indexed="81"/>
            <rFont val="Tahoma"/>
            <family val="2"/>
          </rPr>
          <t xml:space="preserve">
GHG chamber deeper
</t>
        </r>
      </text>
    </comment>
    <comment ref="C13" authorId="0" shapeId="0">
      <text>
        <r>
          <rPr>
            <b/>
            <sz val="9"/>
            <color indexed="81"/>
            <rFont val="Tahoma"/>
            <family val="2"/>
          </rPr>
          <t>Long Ho:</t>
        </r>
        <r>
          <rPr>
            <sz val="9"/>
            <color indexed="81"/>
            <rFont val="Tahoma"/>
            <family val="2"/>
          </rPr>
          <t xml:space="preserve">
A Lof of Scums</t>
        </r>
      </text>
    </comment>
    <comment ref="AE49" authorId="1"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The TN value is lower than the nitrate value!</t>
        </r>
      </text>
    </comment>
  </commentList>
</comments>
</file>

<file path=xl/comments2.xml><?xml version="1.0" encoding="utf-8"?>
<comments xmlns="http://schemas.openxmlformats.org/spreadsheetml/2006/main">
  <authors>
    <author>tc={949ED77F-5EDC-4B25-BBDC-164D36992779}</author>
    <author>tc={AADAB39E-8DDD-4F05-86D5-B9DD2884DCA6}</author>
    <author>tc={D998D157-823A-46BA-8855-5940A4E6CC49}</author>
    <author>tc={0A825183-B04B-4B56-A1FB-E41EFB269071}</author>
    <author>tc={B72A14C2-6711-4CCF-B661-21D59CA47430}</author>
    <author>tc={837D4400-CB2B-46FE-B576-DE0093C4E22A}</author>
    <author>tc={800B0BAC-818F-4978-B5D2-1EFB6C50BB00}</author>
    <author>tc={D0EC1E08-7D4E-4038-A03E-9E74E4E37D69}</author>
    <author>tc={EB7FEE37-3AE2-4618-B8C5-78D4213FD0EB}</author>
    <author>tc={01189AA3-CA6B-458A-8B59-AA166C2B120B}</author>
    <author>tc={A129D536-EDDE-45B9-B90F-28787A720F31}</author>
    <author>tc={9A061F17-473D-44A0-B872-6AA8FC6E6B50}</author>
    <author>tc={916CEF9E-2EEE-4494-94E4-4E6DCCA18B42}</author>
    <author>tc={D7BC35C8-1B9C-45E7-BC8B-CDE078D21118}</author>
    <author>tc={7FEA7B05-4925-43A4-90D7-33F67C5709BE}</author>
    <author>tc={6FBEE93D-C0AB-4DE6-8D3E-FBF012F93322}</author>
    <author>tc={4BDBD6BC-732B-48F2-A91F-CEEE82D77B79}</author>
    <author>tc={511055AF-C08D-4F0A-9561-A4F57D480BD4}</author>
    <author>tc={24B47E86-A885-4DFD-98AC-715430DD6B98}</author>
    <author>tc={17B87755-774D-4D82-9C48-7C2DD3625C95}</author>
    <author>tc={A90509C4-EFFC-443B-AA8B-3AAFC6C876CE}</author>
    <author>tc={90266F95-7118-454B-8BE7-15E311D5C63E}</author>
    <author>tc={027C503B-D20E-4C67-99A9-CB4C31713C67}</author>
    <author>tc={50E993F7-EB00-4FED-A571-4A7521D82942}</author>
    <author>tc={B0162C83-EEA3-4200-A957-7A2EC0064A0A}</author>
    <author>tc={42DECA40-CBBA-480E-B4AF-64101264FF1D}</author>
    <author>tc={E52BEE2D-D530-493E-BA6D-39C5DE343FF5}</author>
    <author>tc={55DD60DA-C1C2-408A-9539-3EA5051921DF}</author>
    <author>tc={4630C8A2-1C58-4FA5-9958-62DE6786EF32}</author>
    <author>tc={224C4B8B-ACB6-476B-B3A9-85711C75D01B}</author>
    <author>tc={460197D5-00F4-49C0-9122-75167DBF8FEB}</author>
    <author>tc={21A99C70-BAE8-4B58-BF56-6C7E62D5515C}</author>
    <author>tc={FD9200B5-768C-4767-ABF1-4113E4C14864}</author>
    <author>tc={87532E06-B0A3-48CB-9C75-89265FA47202}</author>
    <author>tc={03DD41C4-DEC4-44C8-92CD-50441F9405F0}</author>
    <author>tc={F9FDB22C-62AC-4FE8-ABF3-4D15E466BB76}</author>
    <author>tc={0232DAA9-29F5-4178-AAB0-A07591E70F8E}</author>
    <author>tc={E8E45FCD-CE32-4B29-9C70-5CCB6B3DF38B}</author>
    <author>tc={316C4894-678D-4FAD-8A14-9078BF39CF7F}</author>
    <author>tc={542871EE-CCA9-4C6E-8242-6EF4985D7312}</author>
    <author>tc={6EEDDF96-3A27-4C1E-A754-4D2CD43CA89E}</author>
    <author>tc={45E027DE-0D20-4EB7-A3E9-7BB7018E5002}</author>
    <author>tc={BD8311D4-766B-41AB-9613-8C3B0E0CF2C3}</author>
    <author>tc={C581CC84-F681-45BB-8A1F-CD570B22DA52}</author>
    <author>tc={DE2D5478-D56D-4E91-B172-1D7C0D64F1A7}</author>
    <author>tc={2005506E-91DE-4E80-84B0-246FFEC94098}</author>
    <author>tc={6C415032-65E0-4410-8DF0-6B0AD7261288}</author>
    <author>tc={7765D915-A618-4BAE-820D-A5252664790B}</author>
    <author>tc={05DD2697-30AF-45E9-9EFF-A525BFA55A59}</author>
    <author>tc={FD58F203-8847-4834-8F78-005102BF7524}</author>
    <author>tc={8F68DF6E-B166-4E5D-B99E-A9C371919821}</author>
    <author>tc={582AE7E3-574F-44CB-92B8-4FB11042BA65}</author>
    <author>tc={32F9F350-7F4C-4007-B8FB-DE3C1E18CD54}</author>
    <author>tc={9DCE4C6B-EB3C-422C-931B-AF4CE9CBA99F}</author>
    <author>tc={B73D9881-40C7-4324-8280-EDB1646C5D6F}</author>
    <author>tc={001B9029-ECE2-4625-8E93-3F290987D268}</author>
    <author>tc={820D786A-A0E1-4364-A322-F62AC6E6B1A7}</author>
    <author>tc={996580C7-33C1-413F-AF8B-2EF0E15753C8}</author>
    <author>tc={46F88765-3E61-4EEC-BA31-7427DA8CE0CA}</author>
    <author>tc={65984485-3787-4769-B03A-22758C3B95FC}</author>
    <author>tc={855D5F88-D8FF-4CC0-A2FD-435F5B0CEA8D}</author>
    <author>tc={244F57A3-6AE8-450C-9097-654FA82FCED1}</author>
    <author>tc={BEB49AEF-4683-4A87-8DDF-9408733DE13A}</author>
    <author>tc={02CC1E24-D32A-4626-BA2C-5147CA2CB261}</author>
    <author>tc={6FC00E6E-8CA9-4C11-B888-5B58AF796D2C}</author>
    <author>tc={055FA239-2844-45FB-9565-B1E090653192}</author>
    <author>tc={7D66014F-6951-41B9-9AFA-86FA5FE881FB}</author>
    <author>tc={5425910D-63C2-4781-8133-19D3B1C14CF7}</author>
    <author>tc={D5E67257-2D98-4BA6-84D4-DC7E8C9CF30A}</author>
    <author>tc={72AA623C-48C8-40A8-BDA1-94A6EE2FF356}</author>
    <author>tc={A54380F7-B4F5-4008-B0EB-BE790A438C84}</author>
    <author>tc={0DED957A-B19F-4249-95F9-0AAEE132B21F}</author>
    <author>tc={A69A05BD-7AB2-494B-8710-D60A8EF0EE5C}</author>
    <author>tc={D1AFA7C9-C45E-42C0-BE60-F9C28C414533}</author>
    <author>tc={9B849BC2-DB0E-4E7F-8E31-9356AE4B7915}</author>
    <author>tc={C9BA5C68-4698-4671-BBD3-C078D52A3A95}</author>
    <author>tc={273FF18E-69C8-46AE-B6B3-037274E7BA7D}</author>
    <author>tc={F1A0BB42-E7D1-43E1-9B0D-1D2B3C1CCE2F}</author>
    <author>tc={10F914F3-6AB4-430F-9F30-1E14FEC29E77}</author>
    <author>tc={C796F174-F135-4DB0-8B82-CEA17E4C52EA}</author>
    <author>tc={42E5D5E6-EB59-44ED-85CD-74F88822B922}</author>
    <author>tc={3DA15CBA-7597-4AFB-BE68-A9995AB2A0EE}</author>
    <author>tc={8A4D4A3F-CE95-4975-B6A3-A589D57C50A9}</author>
    <author>tc={BF8B9E14-212C-4171-82E6-960461BD91CB}</author>
    <author>tc={A266F97A-1D45-4567-9FE2-335D4F77C01B}</author>
    <author>tc={7C6D104B-5353-4298-A2CF-A18EF3D3E131}</author>
    <author>tc={59E5BBB0-998D-4FB0-B37E-668863AFA0A2}</author>
    <author>tc={67611877-BD6E-4385-9683-FF00CDC2672E}</author>
    <author>tc={50D9311D-DD03-41D3-9C9F-978325736E47}</author>
    <author>tc={399F4A14-2739-49F6-B67D-77C4B5B6F1EA}</author>
    <author>tc={3FAAAFA0-FF71-476E-ACF6-382E7F8D57BB}</author>
    <author>tc={F7C955C8-813B-4E68-B534-C00BBA6C0711}</author>
    <author>tc={FFDE1DF2-A09D-4E4D-98CE-ECCF4F105672}</author>
    <author>tc={D1625C87-449B-4323-823A-F77305B862D9}</author>
  </authors>
  <commentList>
    <comment ref="I29" authorId="0"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K30" authorId="1"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F31" authorId="2"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Ligt niet echt aan de Schelde maar komt er wel in uit denk ik</t>
        </r>
      </text>
    </comment>
    <comment ref="K31" authorId="3"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F32" authorId="4"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Ligt niet echt aan de Schelde maar komt er wel in uit denk ik</t>
        </r>
      </text>
    </comment>
    <comment ref="K32" authorId="5"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M32" authorId="6"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F33" authorId="7"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Ligt niet echt aan de Schelde maar komt er wel in uit denk ik</t>
        </r>
      </text>
    </comment>
    <comment ref="G33" authorId="8"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K33" authorId="9"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G34" authorId="10"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H34" authorId="11"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K34" authorId="12"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G35" authorId="13"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K41" authorId="14"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K42" authorId="15"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I43" authorId="16"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Komt wel uit in de Schelde denk ik</t>
        </r>
      </text>
    </comment>
    <comment ref="J43" authorId="17"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Komt uit in het Albertkanaal en via sluis naar Schelde</t>
        </r>
      </text>
    </comment>
    <comment ref="K43" authorId="18"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M43" authorId="19"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Komt wel uit in de Schelde denk ik</t>
        </r>
      </text>
    </comment>
    <comment ref="I44" authorId="20"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Komt wel uit in de Schelde denk ik</t>
        </r>
      </text>
    </comment>
    <comment ref="J44" authorId="21"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Komt uit in het Albertkanaal en via sluis naar Schelde</t>
        </r>
      </text>
    </comment>
    <comment ref="K44" authorId="22"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L44" authorId="23"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Via sluis</t>
        </r>
      </text>
    </comment>
    <comment ref="F45" authorId="24"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Komt uit in het Albertkanaal en via sluis naar Schelde</t>
        </r>
      </text>
    </comment>
    <comment ref="H45" authorId="25"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Via sluis</t>
        </r>
      </text>
    </comment>
    <comment ref="I45" authorId="26"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Komt wel in Schelde denk ik</t>
        </r>
      </text>
    </comment>
    <comment ref="K45" authorId="27"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F46" authorId="28"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Komt uit in het Albertkanaal en via sluis naar Schelde</t>
        </r>
      </text>
    </comment>
    <comment ref="K46" authorId="29"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G47" authorId="30"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K47" authorId="31"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L47" authorId="32"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Via sluis</t>
        </r>
      </text>
    </comment>
    <comment ref="M47" authorId="33"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Via sluis</t>
        </r>
      </text>
    </comment>
    <comment ref="G48" authorId="34"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K48" authorId="35"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L48" authorId="36"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Via sluis</t>
        </r>
      </text>
    </comment>
    <comment ref="M48" authorId="37"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Via sluis</t>
        </r>
      </text>
    </comment>
    <comment ref="G49" authorId="38"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K49" authorId="39"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L49" authorId="40"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Via sluis</t>
        </r>
      </text>
    </comment>
    <comment ref="M49" authorId="41"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Via sluis</t>
        </r>
      </text>
    </comment>
    <comment ref="G50" authorId="42"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K50" authorId="43"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L50" authorId="44"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Via sluis</t>
        </r>
      </text>
    </comment>
    <comment ref="M50" authorId="45"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Via sluis</t>
        </r>
      </text>
    </comment>
    <comment ref="G51" authorId="46"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L51" authorId="47"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Via sluis</t>
        </r>
      </text>
    </comment>
    <comment ref="M51" authorId="48"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Via sluis</t>
        </r>
      </text>
    </comment>
    <comment ref="I57" authorId="49"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K58" authorId="50"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F59" authorId="51"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Ligt niet echt aan de Schelde maar komt er wel in uit denk ik</t>
        </r>
      </text>
    </comment>
    <comment ref="K59" authorId="52"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F60" authorId="53"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Ligt niet echt aan de Schelde maar komt er wel in uit denk ik</t>
        </r>
      </text>
    </comment>
    <comment ref="K60" authorId="54"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M60" authorId="55"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F61" authorId="56"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Ligt niet echt aan de Schelde maar komt er wel in uit denk ik</t>
        </r>
      </text>
    </comment>
    <comment ref="G61" authorId="57"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K61" authorId="58"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G62" authorId="59"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H62" authorId="60"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K62" authorId="61"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G63" authorId="62"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K69" authorId="63"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K70" authorId="64"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I71" authorId="65"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Komt wel uit in de Schelde denk ik</t>
        </r>
      </text>
    </comment>
    <comment ref="J71" authorId="66"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Komt uit in het Albertkanaal en via sluis naar Schelde</t>
        </r>
      </text>
    </comment>
    <comment ref="K71" authorId="67"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M71" authorId="68"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Komt wel uit in de Schelde denk ik</t>
        </r>
      </text>
    </comment>
    <comment ref="I72" authorId="69"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Komt wel uit in de Schelde denk ik</t>
        </r>
      </text>
    </comment>
    <comment ref="J72" authorId="70"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Komt uit in het Albertkanaal en via sluis naar Schelde</t>
        </r>
      </text>
    </comment>
    <comment ref="K72" authorId="71"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L72" authorId="72"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Via sluis</t>
        </r>
      </text>
    </comment>
    <comment ref="F73" authorId="73"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Komt uit in het Albertkanaal en via sluis naar Schelde</t>
        </r>
      </text>
    </comment>
    <comment ref="H73" authorId="74"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Via sluis</t>
        </r>
      </text>
    </comment>
    <comment ref="I73" authorId="75"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Komt wel in Schelde denk ik</t>
        </r>
      </text>
    </comment>
    <comment ref="K73" authorId="76"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F74" authorId="77"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Komt uit in het Albertkanaal en via sluis naar Schelde</t>
        </r>
      </text>
    </comment>
    <comment ref="K74" authorId="78"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G75" authorId="79"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K75" authorId="80"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L75" authorId="81"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Via sluis</t>
        </r>
      </text>
    </comment>
    <comment ref="M75" authorId="82"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Via sluis</t>
        </r>
      </text>
    </comment>
    <comment ref="G76" authorId="83"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K76" authorId="84"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L76" authorId="85"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Via sluis</t>
        </r>
      </text>
    </comment>
    <comment ref="M76" authorId="86"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Via sluis</t>
        </r>
      </text>
    </comment>
    <comment ref="G78" authorId="87"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K78" authorId="88"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L78" authorId="89"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Via sluis</t>
        </r>
      </text>
    </comment>
    <comment ref="M78" authorId="90"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Via sluis</t>
        </r>
      </text>
    </comment>
    <comment ref="G79" authorId="91"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Niet aan de Schelde</t>
        </r>
      </text>
    </comment>
    <comment ref="H79" authorId="92"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Via sluis</t>
        </r>
      </text>
    </comment>
    <comment ref="I79" authorId="93" shapeI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Via sluis</t>
        </r>
      </text>
    </comment>
  </commentList>
</comments>
</file>

<file path=xl/sharedStrings.xml><?xml version="1.0" encoding="utf-8"?>
<sst xmlns="http://schemas.openxmlformats.org/spreadsheetml/2006/main" count="3867" uniqueCount="479">
  <si>
    <t>No</t>
  </si>
  <si>
    <t>Name</t>
  </si>
  <si>
    <t>Date</t>
  </si>
  <si>
    <t>Time</t>
  </si>
  <si>
    <t>Location</t>
  </si>
  <si>
    <t>River</t>
  </si>
  <si>
    <t>Water temperature (oC)</t>
  </si>
  <si>
    <t>pH (-)</t>
  </si>
  <si>
    <t>DO (mg L-1)</t>
  </si>
  <si>
    <t>Salinity (PSU)</t>
  </si>
  <si>
    <t>Turbidity (NTU)</t>
  </si>
  <si>
    <t>Velocity (m s-1)</t>
  </si>
  <si>
    <t>Latitude</t>
  </si>
  <si>
    <t>Longitude</t>
  </si>
  <si>
    <t>Left Bank (-)</t>
  </si>
  <si>
    <t>Right Bank (-)</t>
  </si>
  <si>
    <t>Shading (-)</t>
  </si>
  <si>
    <t>Erosion (-)</t>
  </si>
  <si>
    <t>Flow variation (-)</t>
  </si>
  <si>
    <t>Width (m)</t>
  </si>
  <si>
    <t>TOC (mg L-1)</t>
  </si>
  <si>
    <t>TIC (mg L-1)</t>
  </si>
  <si>
    <t>TC (mg L-1)</t>
  </si>
  <si>
    <t>TN (mg N L-1)</t>
  </si>
  <si>
    <t>NH4 (mg NH4-N L-1)</t>
  </si>
  <si>
    <t>NO2 (mg NO2-N L-1)</t>
  </si>
  <si>
    <t>NO3 (mg NO3-N L-1)</t>
  </si>
  <si>
    <t>PO4 (mg PO4-P L-1)</t>
  </si>
  <si>
    <t>Air temperature (oC)</t>
  </si>
  <si>
    <t>Solar radiation (W m-2)</t>
  </si>
  <si>
    <t>Dis_CO2_HCl (µmol/L)</t>
  </si>
  <si>
    <t>Dis_CH4_HCl (µmol/L)</t>
  </si>
  <si>
    <t>Dis_N2O_HCl (µmol/L)</t>
  </si>
  <si>
    <t>S1</t>
  </si>
  <si>
    <t>Sea Scheldt</t>
  </si>
  <si>
    <t>Arable</t>
  </si>
  <si>
    <t>Residential</t>
  </si>
  <si>
    <t>Wetteren</t>
  </si>
  <si>
    <t>S2</t>
  </si>
  <si>
    <t>Urban</t>
  </si>
  <si>
    <t>Schellebelle</t>
  </si>
  <si>
    <t>S3</t>
  </si>
  <si>
    <t>Nature</t>
  </si>
  <si>
    <t>Uitbergen</t>
  </si>
  <si>
    <t>S4</t>
  </si>
  <si>
    <t>Appels</t>
  </si>
  <si>
    <t>S5</t>
  </si>
  <si>
    <t>Forest</t>
  </si>
  <si>
    <t>Dendermonde</t>
  </si>
  <si>
    <t>S6</t>
  </si>
  <si>
    <t>Road</t>
  </si>
  <si>
    <t>Baasrode</t>
  </si>
  <si>
    <t>S7</t>
  </si>
  <si>
    <t>Sint Amands</t>
  </si>
  <si>
    <t>S8</t>
  </si>
  <si>
    <t>Driegoten/Briel</t>
  </si>
  <si>
    <t>S9</t>
  </si>
  <si>
    <t>Temse/Weert</t>
  </si>
  <si>
    <t>S10</t>
  </si>
  <si>
    <t>Steendorp</t>
  </si>
  <si>
    <t>S11</t>
  </si>
  <si>
    <t>Bazel</t>
  </si>
  <si>
    <t>S12</t>
  </si>
  <si>
    <t>Hoboken</t>
  </si>
  <si>
    <t>S13</t>
  </si>
  <si>
    <t>Burcht</t>
  </si>
  <si>
    <t>S14</t>
  </si>
  <si>
    <t>Sint Anna</t>
  </si>
  <si>
    <t>S15</t>
  </si>
  <si>
    <t>Boei 109</t>
  </si>
  <si>
    <t>S16</t>
  </si>
  <si>
    <t>S17</t>
  </si>
  <si>
    <t>Zwijndrevel</t>
  </si>
  <si>
    <t>S18</t>
  </si>
  <si>
    <t>Kallo</t>
  </si>
  <si>
    <t>S19</t>
  </si>
  <si>
    <t>Lillo</t>
  </si>
  <si>
    <t>S20</t>
  </si>
  <si>
    <t>Boei 92</t>
  </si>
  <si>
    <t>S21</t>
  </si>
  <si>
    <t>Cauwelsl</t>
  </si>
  <si>
    <t>S22</t>
  </si>
  <si>
    <t>Boei 89</t>
  </si>
  <si>
    <t>S23</t>
  </si>
  <si>
    <t>Grens NL</t>
  </si>
  <si>
    <t>W1</t>
  </si>
  <si>
    <t>Baalhoek</t>
  </si>
  <si>
    <t>W3</t>
  </si>
  <si>
    <t>Waarde</t>
  </si>
  <si>
    <t>W4</t>
  </si>
  <si>
    <t>Hoedekenskerke</t>
  </si>
  <si>
    <t>W5</t>
  </si>
  <si>
    <t>W6</t>
  </si>
  <si>
    <t>Ellewoutsdijk</t>
  </si>
  <si>
    <t>W7</t>
  </si>
  <si>
    <t>Borsele</t>
  </si>
  <si>
    <t>W8</t>
  </si>
  <si>
    <t>W9</t>
  </si>
  <si>
    <t>Vlissingen</t>
  </si>
  <si>
    <t>W10</t>
  </si>
  <si>
    <t>Beach</t>
  </si>
  <si>
    <t xml:space="preserve"> </t>
  </si>
  <si>
    <t>Campaign</t>
  </si>
  <si>
    <t xml:space="preserve">Melle </t>
  </si>
  <si>
    <t>Oosterweel</t>
  </si>
  <si>
    <t>Terneuzen</t>
  </si>
  <si>
    <t>The water temperature (°C) is the temperature from the WTW probe since the WTW probe is more stable than the YSI probe</t>
  </si>
  <si>
    <t>Date and time is the date and time from the datasheet (not the sampling protocol)</t>
  </si>
  <si>
    <t>Dosat (%)</t>
  </si>
  <si>
    <t>#N/A</t>
  </si>
  <si>
    <t>#N/A bij chlorophyll a means that there is no measurement done</t>
  </si>
  <si>
    <t>Ecotope</t>
  </si>
  <si>
    <t>Electrical conductivity (mS cm-1)</t>
  </si>
  <si>
    <t>NO2: if the value was smaller than 0.0020 mg NO2-N L-1 (the lower threshold of the spectrophotometer) then the value is set to 0.0020 mg NO2-N L-1 in campaign 2 to avoid errors in R</t>
  </si>
  <si>
    <t>Grass</t>
  </si>
  <si>
    <t>Sloehaven</t>
  </si>
  <si>
    <t>Industry</t>
  </si>
  <si>
    <t>In the columns Left Bank and Right Bank the most present land uses on each bank (highest %) are given.</t>
  </si>
  <si>
    <t>TP (mg P L-1)</t>
  </si>
  <si>
    <t>For the sampling points done with the boat, the coordinates were usually written down from the boat and are included in the dataset</t>
  </si>
  <si>
    <t>Bathymetrie (eenheid: m/referentievlak: TAW, Noordzee, Westerschelde, Boven-Schelde, Benden-Schelde en zijrivieren)</t>
  </si>
  <si>
    <t>Bathymetrie (eenheid: m/referentievlak: TAW, Boven-Zeeschelde, 2017)</t>
  </si>
  <si>
    <t>Hoogtekaart (eenheid: m/referentievlak: NAP, Westerschelde, 2015)</t>
  </si>
  <si>
    <t>Topo-bathymetrie (eenheid: m/referentievlak: NAP, Westerschelde, 2014)</t>
  </si>
  <si>
    <t>Ecotopenkaart (Zeeschelde, 2016)</t>
  </si>
  <si>
    <t>Ecotopenkaart (Beneden-Zeeschelde, 2019)</t>
  </si>
  <si>
    <t>Ecotopenkaart (Westerschelde, 2020)</t>
  </si>
  <si>
    <t>Following maps from Scheldemonitor are useful for the bathymetry:</t>
  </si>
  <si>
    <t>Following maps from Scheldemonitor are useful for the ecotopes:</t>
  </si>
  <si>
    <t>Rainfall_hourly (mm)</t>
  </si>
  <si>
    <t>Rainfall_daily (mm)</t>
  </si>
  <si>
    <t>m TAW</t>
  </si>
  <si>
    <t>Melle</t>
  </si>
  <si>
    <t>&gt;&gt; positive value means negative m TAW I think and negative value means positive m TAW I think (ben ik vanuit gegaan)</t>
  </si>
  <si>
    <t>I used this one for: S1, S2, S3, S4, S5, S6, S7, S8, S9, S10, S11</t>
  </si>
  <si>
    <t>I used this map for: S1, S2, S3, S4, S5, S6, S7, S8, S9, S10, S11</t>
  </si>
  <si>
    <t>&gt;&gt; positive value means positive m NAP I think</t>
  </si>
  <si>
    <t>m NAP</t>
  </si>
  <si>
    <t>&gt;&gt; positive value means positive m NAP I think (ben ik vanuit gegaan)</t>
  </si>
  <si>
    <t>I used this one for: W6 and W10</t>
  </si>
  <si>
    <t>I used this map for: S12, S13, S14, S15, S16, S17, S18, S19, S20, S21, S22, S23</t>
  </si>
  <si>
    <t>I used this map for: W1, W3, W4, W5, W7, W8, W9</t>
  </si>
  <si>
    <t>Shading: 1 means 'no shade' or 'partly shaded, limited stretch &lt;33%'; 2 means 'partly shaded, longer stretch 33-90%'; 3 means 'completely shaded, limited stretch &lt;33%'</t>
  </si>
  <si>
    <t>Absent</t>
  </si>
  <si>
    <t>Limited</t>
  </si>
  <si>
    <t>Western Scheldt</t>
  </si>
  <si>
    <t>Flow variation: 1 means 'absent'; 2 means 'at human constructions' and/or 'low'/'moderate'/'high'</t>
  </si>
  <si>
    <t>Station</t>
  </si>
  <si>
    <t>Belgium:</t>
  </si>
  <si>
    <t>Netherlands:</t>
  </si>
  <si>
    <t>The river width is an estimate determined with Google Earth.</t>
  </si>
  <si>
    <t>KMI &amp; Waterinfo</t>
  </si>
  <si>
    <t>KMI:</t>
  </si>
  <si>
    <t>Deurne</t>
  </si>
  <si>
    <t>Stabroek</t>
  </si>
  <si>
    <t>Sint-Katelijne-Waver</t>
  </si>
  <si>
    <t>In general:</t>
  </si>
  <si>
    <t>If you are doubting if a weather station is representative for your site you could check the variation for several stations nearby the site and see how variable these are. If you see the same trends it is fine. Flanders is small.</t>
  </si>
  <si>
    <t>If it rains 20km further there is a good chance it will also rain here at some point during the day.</t>
  </si>
  <si>
    <t>&gt;&gt; geen uurlijkse neerslag in Deurne!!</t>
  </si>
  <si>
    <t>Stations</t>
  </si>
  <si>
    <t>Both the precipitation cumulated over an hour and cumulated over a day can be interesting as it might take a while for the system to respond to an input of rain.</t>
  </si>
  <si>
    <t>Exact coordinates stations are given in the downloaded datasets</t>
  </si>
  <si>
    <t>KNMI:</t>
  </si>
  <si>
    <t>1 and 2</t>
  </si>
  <si>
    <t>Wind speed (m s-1)</t>
  </si>
  <si>
    <t>Geopunt:</t>
  </si>
  <si>
    <t>Ook  een 'Bathymetrisch_grid' hebben op Geopunt. Dit grid gaat van Rupelmonde tot aan de monding. Je vindt het onder 'kaarten' =&gt; 'maritiem' =&gt; 'bathymetrie'</t>
  </si>
  <si>
    <t>TIC: S8 = &lt;LOQ(0.2) while TOC = 26.3 mg/L and TC = 26.3 mg/L (TOC = TC - TIC) =&gt; I filled in that S8 = 0.01 mg/L</t>
  </si>
  <si>
    <t>TOC: W8 = &lt;LOQ(0.3) while TC = 29.7 mg/L and TIC = 29.3 mg/L (TOC = TC - TIC) =&gt; I filled in that W8 = 0.4 mg/L</t>
  </si>
  <si>
    <t>TOC: W10 = &lt;LOQ(0.3) while TC = 29.4 mg/L and TIC = 29.2 mg/L (TOC = TC - TIC) =&gt; I filled in that W10 = 0.2 mg/L</t>
  </si>
  <si>
    <t>TOC: W9 = &lt;LOQ while TC = 14.5 mg/L and TIC = 15.5 mg/L (TOC = TC - TIC) =&gt; I filled in that W9 = 0.01 mg/L</t>
  </si>
  <si>
    <t>LOQ = limit of quantification</t>
  </si>
  <si>
    <t>Depth (m)</t>
  </si>
  <si>
    <t>water level</t>
  </si>
  <si>
    <t>bathymetry</t>
  </si>
  <si>
    <t>depth</t>
  </si>
  <si>
    <t>m</t>
  </si>
  <si>
    <t>#N/A means that there is no data for this variable and this site</t>
  </si>
  <si>
    <t>Hoofdplaat</t>
  </si>
  <si>
    <t>Hansweert</t>
  </si>
  <si>
    <t>Westdorpe</t>
  </si>
  <si>
    <t>Wilhelminadorp</t>
  </si>
  <si>
    <t>Woensdrecht</t>
  </si>
  <si>
    <t>Data KMI zijn in UT!!</t>
  </si>
  <si>
    <t>Waterinfo:</t>
  </si>
  <si>
    <t>Campagne 1 zijn allemaal winteruren en campagne 2 zijn allemaal zomeruren!</t>
  </si>
  <si>
    <t>Distance to site (m)</t>
  </si>
  <si>
    <t>Melle: 5437.028</t>
  </si>
  <si>
    <t>Melle: 9061.478</t>
  </si>
  <si>
    <t>Melle: 12094.686</t>
  </si>
  <si>
    <t>Melle: 16980.506</t>
  </si>
  <si>
    <t>Melle: 21425.249</t>
  </si>
  <si>
    <t>Melle: 25773.307</t>
  </si>
  <si>
    <t>SKW: 23515.916</t>
  </si>
  <si>
    <t>Deurne: 24724.173</t>
  </si>
  <si>
    <t>Deurne: 21176.632</t>
  </si>
  <si>
    <t>Deurne: 16888.712</t>
  </si>
  <si>
    <t>Deurne: 12831.88</t>
  </si>
  <si>
    <t>Deurne: 10348.766</t>
  </si>
  <si>
    <t>Deurne: 8447.467</t>
  </si>
  <si>
    <t>Deurne: 4669.759</t>
  </si>
  <si>
    <t>Deurne: 4560.986</t>
  </si>
  <si>
    <t>Deurne: 5559.336</t>
  </si>
  <si>
    <t>Deurne: 10811.274</t>
  </si>
  <si>
    <t>Stabroek: 10596.687</t>
  </si>
  <si>
    <t>Stabroek: 8283.699</t>
  </si>
  <si>
    <t>Stabroek: 8261.507</t>
  </si>
  <si>
    <t>Stabroek: 7771.393</t>
  </si>
  <si>
    <t>Stabroek: 8120.882</t>
  </si>
  <si>
    <t>Stabroek: 11933.439</t>
  </si>
  <si>
    <t>Stabroek: 9563.358</t>
  </si>
  <si>
    <t>Stabroek: 12012.285</t>
  </si>
  <si>
    <t>dit zijn allemaal winteruren</t>
  </si>
  <si>
    <t>dit zijn allemaal zomeruren</t>
  </si>
  <si>
    <t>Melsele</t>
  </si>
  <si>
    <t>Liedekerke</t>
  </si>
  <si>
    <t>Boekhoute</t>
  </si>
  <si>
    <t>Lier</t>
  </si>
  <si>
    <t>Ranst</t>
  </si>
  <si>
    <t>Bornem</t>
  </si>
  <si>
    <t>Denderbelle</t>
  </si>
  <si>
    <t>Massemen</t>
  </si>
  <si>
    <t>Sint-Laureins</t>
  </si>
  <si>
    <t>Wilrijk</t>
  </si>
  <si>
    <t>Zele</t>
  </si>
  <si>
    <t>Instralings(warmte)flux (W/m²)</t>
  </si>
  <si>
    <t>Air T (°C)</t>
  </si>
  <si>
    <t>Wind speed (m/s)</t>
  </si>
  <si>
    <t>Neerslag (uurtotalen en dagtotalen) (mm)</t>
  </si>
  <si>
    <t>Boekhoute_rainfall</t>
  </si>
  <si>
    <t>Vlissingen: 5101.375</t>
  </si>
  <si>
    <t>Vlissingen: 5525.976</t>
  </si>
  <si>
    <t>Data Waterinfo zijn in Midden-Europese Tijd! Zowel wat je download als wat je op de site bekijkt is in Midden-Europese Tijd!</t>
  </si>
  <si>
    <t>Data KNMI zijn in UTC!!!! (zomeruren en winteruren wisselen samen in België en Nederland)</t>
  </si>
  <si>
    <t>Voor omrekening naar Midden Europese Tijd in Nederland geldt: MET = UTC + 1 uur</t>
  </si>
  <si>
    <t>Tijdens de Midden Europese Zomer Tijd in Nederland geldt: MEZT = UTC + 2 uur</t>
  </si>
  <si>
    <t>Water level from Waterinfo.be (alles is in m TAW op Waterinfo!!)</t>
  </si>
  <si>
    <t>station Waterinfo</t>
  </si>
  <si>
    <t>Melle tij/Zeeschelde</t>
  </si>
  <si>
    <t>Wetteren Brug tij/Zeeschelde</t>
  </si>
  <si>
    <t>Ik heb de water levels van de kaartencatalogus gedownload</t>
  </si>
  <si>
    <t>Water level in m NAP from Rijkswaterstaat</t>
  </si>
  <si>
    <t>station Rijkswaterstaat</t>
  </si>
  <si>
    <t>Uitbergen tij/Zeeschelde</t>
  </si>
  <si>
    <t>Schoonaarde tij/Zeeschelde</t>
  </si>
  <si>
    <t>Dendermonde tij/Zeeschelde</t>
  </si>
  <si>
    <t>Vlassenbroek Pompstation Afwaarts DVW/Zeeschelde</t>
  </si>
  <si>
    <t>Sint-Amands tij/Zeeschelde</t>
  </si>
  <si>
    <t>Driegoten tij/Zeeschelde</t>
  </si>
  <si>
    <t>Temse tij/Zeeschelde</t>
  </si>
  <si>
    <t>Wintam Sluis Afwaarts DVW tij/Zeeschelde</t>
  </si>
  <si>
    <t>Hemiksem tij/Zeeschelde</t>
  </si>
  <si>
    <t>Antwerpen tij/Zeeschelde</t>
  </si>
  <si>
    <t>Kallosluis tij/Zeeschelde</t>
  </si>
  <si>
    <t>Liefkenshoek tij/Zeeschelde</t>
  </si>
  <si>
    <t>De waterhoogte op Rijkswaterstaat wordt weergegeven in MET!!</t>
  </si>
  <si>
    <t>KNMI</t>
  </si>
  <si>
    <t>Water level op hetzelfde tijdstip als op de datasheets staat genomen</t>
  </si>
  <si>
    <t>Breskens Handelshaven</t>
  </si>
  <si>
    <t>Terneuzen Westsluis ZZ</t>
  </si>
  <si>
    <t>Deurne =&gt; Wilrijk</t>
  </si>
  <si>
    <t>Deurne =&gt; Melsele</t>
  </si>
  <si>
    <t>Data dichtste bij tijdstip op de datasheet genomen</t>
  </si>
  <si>
    <t>Ik heb de data van de kaartencatalogus gedownload, behalve neerslag via 'meetreeksen' =&gt; 'Neerslag (Uurtotalen)' en 'Neerslag (Dagtotalen)'</t>
  </si>
  <si>
    <t>solar radiation (W/m²) = globale zonnestraling (Wh/m² ) because W=Wh/h and h = 1 hour</t>
  </si>
  <si>
    <t>Convert global radiation (in J/cm²) within one hour to solar radiation in W/m² by dividing with 60*60 seconds (1 watt is 1 joule per second) and multiplying by 10 000.</t>
  </si>
  <si>
    <t>SKW</t>
  </si>
  <si>
    <t>Instralings(warmte)flux (W/m²) = solar radiation (W/m²) heb ik genomen =&gt; heb uiteindelijk toch geen data van waterinfo gebruikt voor solar radiation!</t>
  </si>
  <si>
    <t>Overview stations: https://www.meteo-julianadorp.nl/Handboek_waarnemen/Meetstations.html</t>
  </si>
  <si>
    <t>Dowload hourly data from the meteorological stations shown in the map in the link above via https://daggegevens.knmi.nl/klimatologie/uurgegevens</t>
  </si>
  <si>
    <t>Dowload daily data from the meteorological stations shown in the map in the link above via https://daggegevens.knmi.nl/klimatologie/daggegevens</t>
  </si>
  <si>
    <t>Above link shows a map with the meteorological stations and a map with the stations where they record precipitation</t>
  </si>
  <si>
    <t>1-W1</t>
  </si>
  <si>
    <t>1-W7</t>
  </si>
  <si>
    <t>2-W3</t>
  </si>
  <si>
    <t>1-W5</t>
  </si>
  <si>
    <t>1-W4</t>
  </si>
  <si>
    <r>
      <t xml:space="preserve">kwelder_of_schor </t>
    </r>
    <r>
      <rPr>
        <sz val="11"/>
        <rFont val="Calibri"/>
        <family val="2"/>
        <scheme val="minor"/>
      </rPr>
      <t>=&gt; schor</t>
    </r>
  </si>
  <si>
    <r>
      <t>De </t>
    </r>
    <r>
      <rPr>
        <b/>
        <sz val="8"/>
        <color theme="8"/>
        <rFont val="Arial"/>
        <family val="2"/>
      </rPr>
      <t>hoogdynamische litorale</t>
    </r>
    <r>
      <rPr>
        <sz val="8"/>
        <color theme="8"/>
        <rFont val="Arial"/>
        <family val="2"/>
      </rPr>
      <t> delen zijn arm aan bodemleven. </t>
    </r>
  </si>
  <si>
    <r>
      <t xml:space="preserve">hoogdynamisch_litoraal </t>
    </r>
    <r>
      <rPr>
        <sz val="11"/>
        <rFont val="Calibri"/>
        <family val="2"/>
        <scheme val="minor"/>
      </rPr>
      <t>=&gt; middelhoog slik zacht substraat</t>
    </r>
  </si>
  <si>
    <r>
      <t>hard_substraat</t>
    </r>
    <r>
      <rPr>
        <sz val="11"/>
        <rFont val="Calibri"/>
        <family val="2"/>
        <scheme val="minor"/>
      </rPr>
      <t xml:space="preserve"> =&gt; slik hard antropogeen</t>
    </r>
  </si>
  <si>
    <r>
      <t xml:space="preserve">laagdynamisch_ondiep_sublitoraal </t>
    </r>
    <r>
      <rPr>
        <sz val="11"/>
        <rFont val="Calibri"/>
        <family val="2"/>
        <scheme val="minor"/>
      </rPr>
      <t>=&gt; ondiep subtidaal</t>
    </r>
  </si>
  <si>
    <r>
      <t xml:space="preserve">fijnzandig_laagdynamisch_laaglitoraal </t>
    </r>
    <r>
      <rPr>
        <sz val="11"/>
        <rFont val="Calibri"/>
        <family val="2"/>
        <scheme val="minor"/>
      </rPr>
      <t>=&gt; laag slik zacht substraat</t>
    </r>
  </si>
  <si>
    <r>
      <t xml:space="preserve">fijnzandig_laagdynamisch_middenlitoraal </t>
    </r>
    <r>
      <rPr>
        <sz val="11"/>
        <rFont val="Calibri"/>
        <family val="2"/>
        <scheme val="minor"/>
      </rPr>
      <t>=&gt; middelhoog slik zacht substraat</t>
    </r>
  </si>
  <si>
    <t xml:space="preserve">Tevens wordt aangegeven dat het hoogdynamische gebied zowel litoraal als sublitoraal als ecologisch arm wordt beschouwd. </t>
  </si>
  <si>
    <r>
      <t xml:space="preserve">hoogdynamisch_sublitoraal </t>
    </r>
    <r>
      <rPr>
        <sz val="11"/>
        <rFont val="Calibri"/>
        <family val="2"/>
        <scheme val="minor"/>
      </rPr>
      <t>=&gt; ondiep subtidaal</t>
    </r>
  </si>
  <si>
    <r>
      <t xml:space="preserve">hoogdynamisch_sublitoraal </t>
    </r>
    <r>
      <rPr>
        <sz val="11"/>
        <rFont val="Calibri"/>
        <family val="2"/>
        <scheme val="minor"/>
      </rPr>
      <t>=&gt; matig diep subtidaal</t>
    </r>
  </si>
  <si>
    <r>
      <t xml:space="preserve">hoogdynamisch_sublitoraal </t>
    </r>
    <r>
      <rPr>
        <sz val="11"/>
        <rFont val="Calibri"/>
        <family val="2"/>
        <scheme val="minor"/>
      </rPr>
      <t>=&gt; diep subtidaal</t>
    </r>
  </si>
  <si>
    <t>1-W8</t>
  </si>
  <si>
    <t>1-W3, 2-W4, 2-W5, 2-W7, 2-W8</t>
  </si>
  <si>
    <t>Flemish categories that occur</t>
  </si>
  <si>
    <t>schor</t>
  </si>
  <si>
    <t>middelhoog slik zacht substraat</t>
  </si>
  <si>
    <t>slik hard antropogeen</t>
  </si>
  <si>
    <r>
      <rPr>
        <b/>
        <sz val="11"/>
        <color rgb="FFFF0000"/>
        <rFont val="Calibri"/>
        <family val="2"/>
        <scheme val="minor"/>
      </rPr>
      <t>Dutch map</t>
    </r>
    <r>
      <rPr>
        <b/>
        <sz val="11"/>
        <rFont val="Calibri"/>
        <family val="2"/>
        <scheme val="minor"/>
      </rPr>
      <t xml:space="preserve"> =&gt; F</t>
    </r>
    <r>
      <rPr>
        <b/>
        <sz val="11"/>
        <color theme="1"/>
        <rFont val="Calibri"/>
        <family val="2"/>
        <scheme val="minor"/>
      </rPr>
      <t>lemish map</t>
    </r>
  </si>
  <si>
    <t>Translation</t>
  </si>
  <si>
    <t>Abbreviation</t>
  </si>
  <si>
    <t>Legend Flemish map:</t>
  </si>
  <si>
    <t>laag slik hard antropogeen</t>
  </si>
  <si>
    <t>laag slik zacht substraat</t>
  </si>
  <si>
    <t>ondiep subtidaal</t>
  </si>
  <si>
    <t>matig diep subtidaal</t>
  </si>
  <si>
    <t>diep subtidaal</t>
  </si>
  <si>
    <t>1-W9, 2-W9</t>
  </si>
  <si>
    <t>2-W1</t>
  </si>
  <si>
    <t>low littoral hard anthropogenic</t>
  </si>
  <si>
    <t>low littoral soft substrate</t>
  </si>
  <si>
    <t>medium-high littoral soft substrate</t>
  </si>
  <si>
    <t>littoral hard anthropogenic</t>
  </si>
  <si>
    <t>shallow sublittoral</t>
  </si>
  <si>
    <t>moderately deep sublittoral</t>
  </si>
  <si>
    <t>deep sublittoral</t>
  </si>
  <si>
    <t>LLHA</t>
  </si>
  <si>
    <t>LLSS</t>
  </si>
  <si>
    <t>MLSS</t>
  </si>
  <si>
    <t>LHA</t>
  </si>
  <si>
    <t>SS</t>
  </si>
  <si>
    <t>MDS</t>
  </si>
  <si>
    <t>DS</t>
  </si>
  <si>
    <t>Hansweert: 8959.605; Wilhelminadorp: 20757.625</t>
  </si>
  <si>
    <t>Hansweert: 4783.873; Wilhelminadorp: 14703.101</t>
  </si>
  <si>
    <t>Hansweert: 6106.273; Wilhelminadorp: 11494.803</t>
  </si>
  <si>
    <t>Westdorpe: 13003.905</t>
  </si>
  <si>
    <t>Vlissingen: 16674.851</t>
  </si>
  <si>
    <t>Vlissingen: 7997.256</t>
  </si>
  <si>
    <t>Hansweert: 7952.538; Wilhelminadorp: 19590.521</t>
  </si>
  <si>
    <t>Hansweert: 3059.89; Wilhelminadorp: 13355.283</t>
  </si>
  <si>
    <t>Vlissingen: 11213,330</t>
  </si>
  <si>
    <t>Melle: 707.576</t>
  </si>
  <si>
    <t>For the sampling points done with a boat (S20, S21, S23, W1, W3, W4, W5, W7, W8 and W9), the water level was recorded and this water level is written down in the dataset</t>
  </si>
  <si>
    <t>I used this one for: S12, S13, S14, S15, S16, S17, S19, S22</t>
  </si>
  <si>
    <t>Flux_CO2_water (mg m-2 d-1)</t>
  </si>
  <si>
    <t>Flux_CH4_water (mg m-2 d-1)</t>
  </si>
  <si>
    <t>Flux_N2O_water (ug m-2 d-1)</t>
  </si>
  <si>
    <t>Flux_CO2_air (mg m-2 d-1)</t>
  </si>
  <si>
    <t>Flux_CH4_air (mg m-2 d-1)</t>
  </si>
  <si>
    <t>Flux_N2O_air (ug m-2 d-1)</t>
  </si>
  <si>
    <t xml:space="preserve">Fluxes: </t>
  </si>
  <si>
    <t xml:space="preserve">_water =&gt; means that the flux value is calculated with the measured water temperature </t>
  </si>
  <si>
    <t>_air =&gt; means that the flux value is calculated with the air temperature obtained from a nearby meteorological station</t>
  </si>
  <si>
    <t>Fresh</t>
  </si>
  <si>
    <t>Brackish</t>
  </si>
  <si>
    <t>Oligohaline</t>
  </si>
  <si>
    <t>Mesohaline</t>
  </si>
  <si>
    <t>Polyhaline</t>
  </si>
  <si>
    <t>Land use (-)</t>
  </si>
  <si>
    <t>Salinity categories (-)</t>
  </si>
  <si>
    <t>Salinity Venice system (-)</t>
  </si>
  <si>
    <t xml:space="preserve">salinity Venice system: </t>
  </si>
  <si>
    <t xml:space="preserve">salinity categories: </t>
  </si>
  <si>
    <t>fresh water (&lt; 0.5 ppt), brackish water (0.5-30 ppt), saline water (30-50 ppt), briny water (&gt; 50 ppt)</t>
  </si>
  <si>
    <t>PSU ≈ ppt</t>
  </si>
  <si>
    <t>freshwater (&lt;0.5 ppt), oligohaline (0.5–5 ppt), mesohaline (5–18 ppt), polyhaline (18–30 ppt), euhaline (30–40 ppt), and hyperhaline (&gt;40 ppt)</t>
  </si>
  <si>
    <t>In the column Land use the most present land use (highest %) on the bank where we have sampled is given.</t>
  </si>
  <si>
    <t>Heavily polluted</t>
  </si>
  <si>
    <t>Very poor</t>
  </si>
  <si>
    <t>Polluted</t>
  </si>
  <si>
    <t>Acceptable quality</t>
  </si>
  <si>
    <t>Poor</t>
  </si>
  <si>
    <t>Good</t>
  </si>
  <si>
    <t>Prati Index WQ class</t>
  </si>
  <si>
    <t>Oregon Index WQ class</t>
  </si>
  <si>
    <t>LU_new</t>
  </si>
  <si>
    <t>Ecotope_new</t>
  </si>
  <si>
    <t>Ecotope_littoral</t>
  </si>
  <si>
    <t>Sublittoral</t>
  </si>
  <si>
    <t>Transportation</t>
  </si>
  <si>
    <t>Littoral</t>
  </si>
  <si>
    <t>Anthropogenic</t>
  </si>
  <si>
    <t>Natural</t>
  </si>
  <si>
    <t>Tide</t>
  </si>
  <si>
    <t>Low</t>
  </si>
  <si>
    <t>High</t>
  </si>
  <si>
    <t>Prosperpolder tij/Zeeschelde</t>
  </si>
  <si>
    <t>Walsoorden</t>
  </si>
  <si>
    <t>Overloop van Hansweert</t>
  </si>
  <si>
    <t>Borssele</t>
  </si>
  <si>
    <t>Ik heb de water levels van de kaartencatalogus</t>
  </si>
  <si>
    <r>
      <t>headspace δ</t>
    </r>
    <r>
      <rPr>
        <vertAlign val="superscript"/>
        <sz val="11"/>
        <rFont val="Arial"/>
        <family val="2"/>
      </rPr>
      <t>15</t>
    </r>
    <r>
      <rPr>
        <sz val="11"/>
        <rFont val="Arial"/>
        <family val="2"/>
      </rPr>
      <t>N</t>
    </r>
    <r>
      <rPr>
        <vertAlign val="superscript"/>
        <sz val="11"/>
        <rFont val="Arial"/>
        <family val="2"/>
      </rPr>
      <t>bulk</t>
    </r>
  </si>
  <si>
    <t>headspace SP</t>
  </si>
  <si>
    <r>
      <t>headspace δ</t>
    </r>
    <r>
      <rPr>
        <vertAlign val="superscript"/>
        <sz val="11"/>
        <rFont val="Arial"/>
        <family val="2"/>
      </rPr>
      <t>18</t>
    </r>
    <r>
      <rPr>
        <sz val="11"/>
        <rFont val="Arial"/>
        <family val="2"/>
      </rPr>
      <t>O</t>
    </r>
  </si>
  <si>
    <r>
      <t>keeling δ</t>
    </r>
    <r>
      <rPr>
        <vertAlign val="superscript"/>
        <sz val="11"/>
        <rFont val="Arial"/>
        <family val="2"/>
      </rPr>
      <t>15</t>
    </r>
    <r>
      <rPr>
        <sz val="11"/>
        <rFont val="Arial"/>
        <family val="2"/>
      </rPr>
      <t>N</t>
    </r>
    <r>
      <rPr>
        <vertAlign val="superscript"/>
        <sz val="11"/>
        <rFont val="Arial"/>
        <family val="2"/>
      </rPr>
      <t>bulk</t>
    </r>
  </si>
  <si>
    <t>keeling SP</t>
  </si>
  <si>
    <r>
      <t>keeling δ</t>
    </r>
    <r>
      <rPr>
        <vertAlign val="superscript"/>
        <sz val="11"/>
        <rFont val="Arial"/>
        <family val="2"/>
      </rPr>
      <t>18</t>
    </r>
    <r>
      <rPr>
        <sz val="11"/>
        <rFont val="Arial"/>
        <family val="2"/>
      </rPr>
      <t>O</t>
    </r>
  </si>
  <si>
    <t>d15Nbulk_H_W</t>
  </si>
  <si>
    <t>SP_H_W</t>
  </si>
  <si>
    <t>d18O_H_W</t>
  </si>
  <si>
    <t>d15Nbulk_K_W</t>
  </si>
  <si>
    <t>SP_K_W</t>
  </si>
  <si>
    <t>d18O_K_W</t>
  </si>
  <si>
    <t>d15Nbulk_H_S</t>
  </si>
  <si>
    <t>SP_H_S</t>
  </si>
  <si>
    <t>d18O_H_S</t>
  </si>
  <si>
    <t>d15Nbulk_K_S</t>
  </si>
  <si>
    <t>SP_K_S</t>
  </si>
  <si>
    <t>d18O_K_S</t>
  </si>
  <si>
    <t>Volgende kaart gebruikt van Geopunt voor de Sea Scheldt:</t>
  </si>
  <si>
    <r>
      <t xml:space="preserve">Rioleringsdatabank Vlaanderen, </t>
    </r>
    <r>
      <rPr>
        <b/>
        <sz val="11"/>
        <color theme="1"/>
        <rFont val="Calibri"/>
        <family val="2"/>
        <scheme val="minor"/>
      </rPr>
      <t>toestand 20 januari 2020</t>
    </r>
  </si>
  <si>
    <t>https://www.geopunt.be/kaart?type=dataset&amp;data=%5B%7B%27type%27%3A%27WMS%27%2C%27url%27%3A%27https%3A%2F%2Fgeoservices.informatievlaanderen.be%2Fraadpleegdiensten%2FNutsdiensten_en_overheidsdiensten%2Fwms%3Frequest%3DGetMap%26version%3D1.3.0%26service%3Dwms%27%2C%27layers%27%3A%5B%7B%27id%27%3A%27HYDPNT%27%2C%27title%27%3A%27Hydraulisch%20punt%27%7D%5D%7D%5D</t>
  </si>
  <si>
    <t xml:space="preserve">Een pompstation is een installatie die de nodige druk levert om afvalwater naar een hoger gelegen punt te vervoeren zodat het vuile water op het einde van de rit in een rioolwaterzuiveringsinstallatie verwerkt kan worden. </t>
  </si>
  <si>
    <t>Een overstort is een opening in een gemengd rioleringsstelsel waarlangs, bij hevige en langdurige regen, het overtollige afval- en regenwater wordt afgevoerd om wateroverlast te voorkomen. </t>
  </si>
  <si>
    <t>Reservoir voor het opslaan van afvalwater???</t>
  </si>
  <si>
    <t>latitude</t>
  </si>
  <si>
    <t>longitude</t>
  </si>
  <si>
    <t>Uitlaat overstortwater actief</t>
  </si>
  <si>
    <t>Uitlaat regenwater actief</t>
  </si>
  <si>
    <t>Afgeschafde infrastructuur</t>
  </si>
  <si>
    <t>Uitlaat zuiveringsstation actief</t>
  </si>
  <si>
    <t>Uitlaat niet gezuiverd actief</t>
  </si>
  <si>
    <t>Upstream</t>
  </si>
  <si>
    <t>Downstream</t>
  </si>
  <si>
    <t>Distance (m)</t>
  </si>
  <si>
    <t>/</t>
  </si>
  <si>
    <t>Cropland</t>
  </si>
  <si>
    <t>Grassland</t>
  </si>
  <si>
    <t>Trees</t>
  </si>
  <si>
    <t>LU_dominant</t>
  </si>
  <si>
    <t>Agriculture</t>
  </si>
  <si>
    <t>LU_dominant_new</t>
  </si>
  <si>
    <t>Built-up</t>
  </si>
  <si>
    <t>Herbaceous wetland</t>
  </si>
  <si>
    <t>Barren/sparse vegetation</t>
  </si>
  <si>
    <t>Built-up (%)</t>
  </si>
  <si>
    <t>Cropland (%)</t>
  </si>
  <si>
    <t>Grassland (%)</t>
  </si>
  <si>
    <t>Herbaceous wetland (%)</t>
  </si>
  <si>
    <t>Trees (%)</t>
  </si>
  <si>
    <t>Shrubland (%)</t>
  </si>
  <si>
    <t>Barren/sparse vegetation (%)</t>
  </si>
  <si>
    <t>Agriculture (%)</t>
  </si>
  <si>
    <t>Nature (%)</t>
  </si>
  <si>
    <t>Upwards</t>
  </si>
  <si>
    <t>Downwards</t>
  </si>
  <si>
    <t>Downwards/upwards</t>
  </si>
  <si>
    <t>Upwards/downwards</t>
  </si>
  <si>
    <t>Flux_CH4_W_ZO</t>
  </si>
  <si>
    <t>Dis_CO2_ZO</t>
  </si>
  <si>
    <t>Dis_CH4_ZO</t>
  </si>
  <si>
    <t>Dis_N2O_ZO</t>
  </si>
  <si>
    <t>Season</t>
  </si>
  <si>
    <t>Salinity</t>
  </si>
  <si>
    <t>PI</t>
  </si>
  <si>
    <t>OI</t>
  </si>
  <si>
    <t>Winter</t>
  </si>
  <si>
    <t>Summer</t>
  </si>
  <si>
    <t>Direction tide</t>
  </si>
  <si>
    <t>Both</t>
  </si>
  <si>
    <t>min distance alles (m)</t>
  </si>
  <si>
    <t>Yes</t>
  </si>
  <si>
    <t>yes</t>
  </si>
  <si>
    <t>min distance alles zonder regenwater (m)</t>
  </si>
  <si>
    <t>min distance alles zonder regenwater en overstort (m)</t>
  </si>
  <si>
    <t>min distance alles zonder overstort (m)</t>
  </si>
  <si>
    <t>min distance alles up/downstream (m)</t>
  </si>
  <si>
    <t>min distance alles zonder regenwater up/downstream (m)</t>
  </si>
  <si>
    <t>min distance alles zonder overstort up/downstream (m)</t>
  </si>
  <si>
    <t>min distance alles zonder regen en overstort up/downstream (m)</t>
  </si>
  <si>
    <t>min distance alles up/downstream anders (m)</t>
  </si>
  <si>
    <t>min distance alles zonder regenwater up/downstream anders (m)</t>
  </si>
  <si>
    <t>min distance alles zonder overstort up/downstream anders (m)</t>
  </si>
  <si>
    <t>min distance alles zonder regen en overstort up/downstream anders (m)</t>
  </si>
  <si>
    <t>Dis1</t>
  </si>
  <si>
    <t>Dis2</t>
  </si>
  <si>
    <t>Dis3</t>
  </si>
  <si>
    <t>Dis4</t>
  </si>
  <si>
    <t>Dis5</t>
  </si>
  <si>
    <t>Dis6</t>
  </si>
  <si>
    <t>Dis7</t>
  </si>
  <si>
    <t>Dis8</t>
  </si>
  <si>
    <t>Dis9</t>
  </si>
  <si>
    <t>Dis10</t>
  </si>
  <si>
    <t>Dis11</t>
  </si>
  <si>
    <t>Dis12</t>
  </si>
  <si>
    <t>Dis9_distance</t>
  </si>
  <si>
    <t>N/P ratio</t>
  </si>
  <si>
    <r>
      <t>Chlorophyll a (</t>
    </r>
    <r>
      <rPr>
        <sz val="11"/>
        <color theme="1"/>
        <rFont val="Calibri"/>
        <family val="2"/>
      </rPr>
      <t>µ</t>
    </r>
    <r>
      <rPr>
        <sz val="11"/>
        <color theme="1"/>
        <rFont val="Calibri"/>
        <family val="2"/>
        <scheme val="minor"/>
      </rPr>
      <t>g L-1)</t>
    </r>
  </si>
  <si>
    <r>
      <t>d</t>
    </r>
    <r>
      <rPr>
        <vertAlign val="superscript"/>
        <sz val="10"/>
        <rFont val="Arial"/>
        <family val="2"/>
      </rPr>
      <t>15</t>
    </r>
    <r>
      <rPr>
        <sz val="11"/>
        <color theme="1"/>
        <rFont val="Calibri"/>
        <family val="2"/>
        <scheme val="minor"/>
      </rPr>
      <t>N</t>
    </r>
    <r>
      <rPr>
        <vertAlign val="subscript"/>
        <sz val="10"/>
        <rFont val="Arial"/>
        <family val="2"/>
      </rPr>
      <t>AIR (‰)</t>
    </r>
  </si>
  <si>
    <r>
      <t>d</t>
    </r>
    <r>
      <rPr>
        <vertAlign val="superscript"/>
        <sz val="10"/>
        <rFont val="Arial"/>
        <family val="2"/>
      </rPr>
      <t>18</t>
    </r>
    <r>
      <rPr>
        <sz val="11"/>
        <color theme="1"/>
        <rFont val="Calibri"/>
        <family val="2"/>
        <scheme val="minor"/>
      </rPr>
      <t>O</t>
    </r>
    <r>
      <rPr>
        <vertAlign val="subscript"/>
        <sz val="10"/>
        <rFont val="Arial"/>
        <family val="2"/>
      </rPr>
      <t>VSMOW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</si>
</sst>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0.0000"/>
    <numFmt numFmtId="166" formatCode="0.000000"/>
    <numFmt numFmtId="167" formatCode="0.00000000000"/>
    <numFmt numFmtId="168" formatCode="0.000000000000000"/>
    <numFmt numFmtId="169" formatCode="0.000000000"/>
    <numFmt numFmtId="170" formatCode="0.00000000"/>
  </numFmts>
  <fonts count="25" x14ac:knownFonts="1">
    <font>
      <sz val="11"/>
      <color theme="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11"/>
      <color rgb="FFFF0000"/>
      <name val="Calibri"/>
      <family val="2"/>
      <scheme val="minor"/>
    </font>
    <font>
      <u/>
      <sz val="11"/>
      <color rgb="FFFF0000"/>
      <name val="Calibri"/>
      <family val="2"/>
    </font>
    <font>
      <sz val="8"/>
      <name val="Calibri"/>
      <family val="2"/>
      <scheme val="minor"/>
    </font>
    <font>
      <sz val="11"/>
      <color theme="1"/>
      <name val="Calibri"/>
      <family val="2"/>
    </font>
    <font>
      <b/>
      <sz val="11"/>
      <name val="Calibri"/>
      <family val="2"/>
      <scheme val="minor"/>
    </font>
    <font>
      <sz val="11"/>
      <color theme="9"/>
      <name val="Calibri"/>
      <family val="2"/>
      <scheme val="minor"/>
    </font>
    <font>
      <sz val="7"/>
      <color rgb="FFFF0000"/>
      <name val="Arial"/>
      <family val="2"/>
    </font>
    <font>
      <b/>
      <sz val="11"/>
      <color rgb="FFFF0000"/>
      <name val="Calibri"/>
      <family val="2"/>
      <scheme val="minor"/>
    </font>
    <font>
      <sz val="8"/>
      <color theme="8"/>
      <name val="Arial"/>
      <family val="2"/>
    </font>
    <font>
      <b/>
      <sz val="8"/>
      <color theme="8"/>
      <name val="Arial"/>
      <family val="2"/>
    </font>
    <font>
      <sz val="11"/>
      <color theme="8"/>
      <name val="Calibri"/>
      <family val="2"/>
      <scheme val="minor"/>
    </font>
    <font>
      <sz val="10"/>
      <name val="Arial"/>
      <family val="2"/>
    </font>
    <font>
      <sz val="11"/>
      <name val="Arial"/>
      <family val="2"/>
    </font>
    <font>
      <vertAlign val="superscript"/>
      <sz val="11"/>
      <name val="Arial"/>
      <family val="2"/>
    </font>
    <font>
      <u/>
      <sz val="11"/>
      <color theme="10"/>
      <name val="Calibri"/>
      <family val="2"/>
      <scheme val="minor"/>
    </font>
    <font>
      <sz val="10"/>
      <color rgb="FF202124"/>
      <name val="Arial"/>
      <family val="2"/>
    </font>
    <font>
      <sz val="11"/>
      <color theme="1"/>
      <name val="Calibri"/>
      <family val="2"/>
      <scheme val="minor"/>
    </font>
    <font>
      <sz val="10"/>
      <name val="Symbol"/>
      <family val="1"/>
      <charset val="2"/>
    </font>
    <font>
      <vertAlign val="superscript"/>
      <sz val="10"/>
      <name val="Arial"/>
      <family val="2"/>
    </font>
    <font>
      <vertAlign val="subscript"/>
      <sz val="10"/>
      <name val="Arial"/>
      <family val="2"/>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999999"/>
      </left>
      <right/>
      <top/>
      <bottom style="medium">
        <color indexed="64"/>
      </bottom>
      <diagonal/>
    </border>
  </borders>
  <cellStyleXfs count="3">
    <xf numFmtId="0" fontId="0" fillId="0" borderId="0"/>
    <xf numFmtId="0" fontId="16" fillId="0" borderId="0"/>
    <xf numFmtId="0" fontId="19" fillId="0" borderId="0" applyNumberFormat="0" applyFill="0" applyBorder="0" applyAlignment="0" applyProtection="0"/>
  </cellStyleXfs>
  <cellXfs count="97">
    <xf numFmtId="0" fontId="0" fillId="0" borderId="0" xfId="0"/>
    <xf numFmtId="14" fontId="0" fillId="0" borderId="0" xfId="0" applyNumberFormat="1"/>
    <xf numFmtId="20" fontId="0" fillId="0" borderId="0" xfId="0" applyNumberFormat="1"/>
    <xf numFmtId="0" fontId="3" fillId="0" borderId="0" xfId="0" applyFont="1"/>
    <xf numFmtId="0" fontId="4" fillId="0" borderId="0" xfId="0" applyFont="1"/>
    <xf numFmtId="0" fontId="5" fillId="0" borderId="0" xfId="0" applyFont="1"/>
    <xf numFmtId="0" fontId="0" fillId="0" borderId="0" xfId="0" applyBorder="1"/>
    <xf numFmtId="0" fontId="0" fillId="0" borderId="0" xfId="0" applyFill="1" applyBorder="1"/>
    <xf numFmtId="0" fontId="6" fillId="0" borderId="0" xfId="0" applyFont="1"/>
    <xf numFmtId="0" fontId="9" fillId="0" borderId="0" xfId="0" applyFont="1"/>
    <xf numFmtId="0" fontId="0" fillId="0" borderId="0" xfId="0" applyFont="1"/>
    <xf numFmtId="0" fontId="10" fillId="0" borderId="0" xfId="0" applyFont="1"/>
    <xf numFmtId="0" fontId="0" fillId="0" borderId="0" xfId="0" quotePrefix="1"/>
    <xf numFmtId="3" fontId="11" fillId="0" borderId="0" xfId="0" applyNumberFormat="1" applyFont="1"/>
    <xf numFmtId="0" fontId="12" fillId="0" borderId="0" xfId="0" applyFont="1"/>
    <xf numFmtId="0" fontId="3" fillId="0" borderId="0" xfId="0" applyFont="1" applyBorder="1" applyAlignment="1">
      <alignment horizontal="right"/>
    </xf>
    <xf numFmtId="0" fontId="3" fillId="0" borderId="0" xfId="0" applyFont="1" applyFill="1"/>
    <xf numFmtId="0" fontId="9" fillId="0" borderId="0" xfId="0" applyFont="1" applyFill="1"/>
    <xf numFmtId="0" fontId="0" fillId="0" borderId="0" xfId="0" applyFont="1" applyFill="1"/>
    <xf numFmtId="0" fontId="15" fillId="0" borderId="0" xfId="0" applyFont="1"/>
    <xf numFmtId="164" fontId="3" fillId="0" borderId="0" xfId="0" applyNumberFormat="1" applyFont="1" applyBorder="1" applyAlignment="1" applyProtection="1">
      <protection locked="0"/>
    </xf>
    <xf numFmtId="164" fontId="3" fillId="0" borderId="0" xfId="0" applyNumberFormat="1" applyFont="1" applyFill="1" applyBorder="1" applyAlignment="1"/>
    <xf numFmtId="164" fontId="3" fillId="0" borderId="0" xfId="0" applyNumberFormat="1" applyFont="1" applyBorder="1" applyAlignment="1"/>
    <xf numFmtId="14" fontId="0" fillId="0" borderId="0" xfId="0" applyNumberFormat="1" applyFont="1"/>
    <xf numFmtId="20" fontId="0" fillId="0" borderId="0" xfId="0" applyNumberFormat="1" applyFont="1"/>
    <xf numFmtId="14" fontId="3" fillId="0" borderId="0" xfId="0" applyNumberFormat="1" applyFont="1"/>
    <xf numFmtId="20" fontId="3" fillId="0" borderId="0" xfId="0" applyNumberFormat="1" applyFont="1"/>
    <xf numFmtId="0" fontId="19" fillId="0" borderId="0" xfId="2"/>
    <xf numFmtId="0" fontId="20" fillId="0" borderId="0" xfId="0" applyFont="1"/>
    <xf numFmtId="166" fontId="4" fillId="0" borderId="0" xfId="0" applyNumberFormat="1" applyFont="1"/>
    <xf numFmtId="166" fontId="0" fillId="0" borderId="0" xfId="0" applyNumberFormat="1"/>
    <xf numFmtId="166" fontId="5" fillId="0" borderId="0" xfId="0" applyNumberFormat="1" applyFont="1"/>
    <xf numFmtId="0" fontId="3" fillId="2" borderId="0" xfId="0" applyFont="1" applyFill="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9" fillId="0" borderId="0" xfId="0" applyFont="1" applyAlignment="1">
      <alignment horizontal="center"/>
    </xf>
    <xf numFmtId="0" fontId="4" fillId="0" borderId="0" xfId="0" applyFont="1" applyAlignment="1">
      <alignment horizontal="center"/>
    </xf>
    <xf numFmtId="0" fontId="0" fillId="0" borderId="0" xfId="0" applyAlignment="1">
      <alignment horizontal="center"/>
    </xf>
    <xf numFmtId="0" fontId="0" fillId="0" borderId="0" xfId="0" applyFont="1" applyBorder="1"/>
    <xf numFmtId="0" fontId="3" fillId="0" borderId="0" xfId="0" applyFont="1" applyBorder="1"/>
    <xf numFmtId="166" fontId="3" fillId="0" borderId="0" xfId="0" applyNumberFormat="1" applyFont="1" applyFill="1" applyBorder="1"/>
    <xf numFmtId="0" fontId="3" fillId="0" borderId="0" xfId="0" applyFont="1" applyFill="1" applyBorder="1"/>
    <xf numFmtId="20" fontId="0" fillId="0" borderId="0" xfId="0" applyNumberFormat="1" applyFont="1" applyBorder="1"/>
    <xf numFmtId="14" fontId="0" fillId="0" borderId="0" xfId="0" applyNumberFormat="1" applyFont="1" applyBorder="1"/>
    <xf numFmtId="2" fontId="0" fillId="0" borderId="0" xfId="0" applyNumberFormat="1" applyFont="1" applyBorder="1"/>
    <xf numFmtId="164" fontId="0" fillId="0" borderId="0" xfId="0" applyNumberFormat="1" applyFont="1" applyBorder="1"/>
    <xf numFmtId="169" fontId="0" fillId="0" borderId="0" xfId="0" applyNumberFormat="1" applyFont="1" applyBorder="1"/>
    <xf numFmtId="166" fontId="0" fillId="0" borderId="0" xfId="0" applyNumberFormat="1" applyFont="1" applyBorder="1"/>
    <xf numFmtId="0" fontId="0" fillId="0" borderId="0" xfId="0" applyFont="1" applyBorder="1" applyAlignment="1">
      <alignment horizontal="right"/>
    </xf>
    <xf numFmtId="167" fontId="0" fillId="0" borderId="0" xfId="0" applyNumberFormat="1" applyFont="1" applyBorder="1"/>
    <xf numFmtId="168" fontId="0" fillId="0" borderId="0" xfId="0" applyNumberFormat="1" applyFont="1" applyBorder="1" applyAlignment="1">
      <alignment horizontal="right"/>
    </xf>
    <xf numFmtId="170" fontId="0" fillId="0" borderId="0" xfId="0" applyNumberFormat="1" applyFont="1" applyBorder="1"/>
    <xf numFmtId="166" fontId="0" fillId="0" borderId="0" xfId="0" applyNumberFormat="1" applyFont="1" applyFill="1" applyBorder="1"/>
    <xf numFmtId="165" fontId="0" fillId="0" borderId="0" xfId="0" applyNumberFormat="1" applyFont="1" applyBorder="1"/>
    <xf numFmtId="0" fontId="0" fillId="0" borderId="0" xfId="0" applyFont="1" applyBorder="1" applyAlignment="1">
      <alignment wrapText="1"/>
    </xf>
    <xf numFmtId="0" fontId="0" fillId="0" borderId="0" xfId="0" applyFont="1" applyBorder="1" applyAlignment="1"/>
    <xf numFmtId="168" fontId="0" fillId="0" borderId="0" xfId="0" applyNumberFormat="1" applyFont="1" applyBorder="1"/>
    <xf numFmtId="0" fontId="3" fillId="0" borderId="0" xfId="0" applyFont="1" applyAlignment="1">
      <alignment horizontal="center"/>
    </xf>
    <xf numFmtId="14" fontId="0" fillId="0" borderId="5" xfId="0" applyNumberFormat="1" applyFont="1" applyBorder="1"/>
    <xf numFmtId="20" fontId="0" fillId="0" borderId="5" xfId="0" applyNumberFormat="1" applyFont="1" applyBorder="1"/>
    <xf numFmtId="0" fontId="0" fillId="0" borderId="5" xfId="0" applyFont="1" applyBorder="1"/>
    <xf numFmtId="164" fontId="0" fillId="0" borderId="5" xfId="0" applyNumberFormat="1" applyFont="1" applyBorder="1"/>
    <xf numFmtId="169" fontId="0" fillId="0" borderId="5" xfId="0" applyNumberFormat="1" applyFont="1" applyBorder="1"/>
    <xf numFmtId="0" fontId="3" fillId="0" borderId="5" xfId="0" applyFont="1" applyBorder="1"/>
    <xf numFmtId="166" fontId="0" fillId="0" borderId="5" xfId="0" applyNumberFormat="1" applyFont="1" applyBorder="1"/>
    <xf numFmtId="0" fontId="0" fillId="0" borderId="5" xfId="0" applyFont="1" applyBorder="1" applyAlignment="1">
      <alignment horizontal="right"/>
    </xf>
    <xf numFmtId="0" fontId="0" fillId="0" borderId="5" xfId="0" applyFont="1" applyBorder="1" applyAlignment="1"/>
    <xf numFmtId="164" fontId="3" fillId="0" borderId="5" xfId="0" applyNumberFormat="1" applyFont="1" applyBorder="1" applyAlignment="1" applyProtection="1">
      <protection locked="0"/>
    </xf>
    <xf numFmtId="167" fontId="0" fillId="0" borderId="5" xfId="0" applyNumberFormat="1" applyFont="1" applyBorder="1"/>
    <xf numFmtId="168" fontId="0" fillId="0" borderId="5" xfId="0" applyNumberFormat="1" applyFont="1" applyBorder="1"/>
    <xf numFmtId="170" fontId="0" fillId="0" borderId="5" xfId="0" applyNumberFormat="1" applyFont="1" applyBorder="1"/>
    <xf numFmtId="0" fontId="3" fillId="0" borderId="6" xfId="0" applyFont="1" applyBorder="1"/>
    <xf numFmtId="0" fontId="0" fillId="0" borderId="7" xfId="0" applyFont="1" applyBorder="1"/>
    <xf numFmtId="0" fontId="3" fillId="0" borderId="8" xfId="0" applyFont="1" applyBorder="1"/>
    <xf numFmtId="0" fontId="0" fillId="0" borderId="8" xfId="0" applyFont="1" applyBorder="1"/>
    <xf numFmtId="0" fontId="0" fillId="0" borderId="9" xfId="0" applyFont="1" applyBorder="1"/>
    <xf numFmtId="14" fontId="0" fillId="0" borderId="10" xfId="0" applyNumberFormat="1" applyFont="1" applyBorder="1"/>
    <xf numFmtId="20" fontId="0" fillId="0" borderId="10" xfId="0" applyNumberFormat="1" applyFont="1" applyBorder="1"/>
    <xf numFmtId="0" fontId="0" fillId="0" borderId="10" xfId="0" applyFont="1" applyBorder="1"/>
    <xf numFmtId="164" fontId="0" fillId="0" borderId="10" xfId="0" applyNumberFormat="1" applyFont="1" applyBorder="1"/>
    <xf numFmtId="169" fontId="0" fillId="0" borderId="10" xfId="0" applyNumberFormat="1" applyFont="1" applyBorder="1"/>
    <xf numFmtId="0" fontId="3" fillId="0" borderId="10" xfId="0" applyFont="1" applyBorder="1"/>
    <xf numFmtId="166" fontId="0" fillId="0" borderId="10" xfId="0" applyNumberFormat="1" applyFont="1" applyBorder="1"/>
    <xf numFmtId="164" fontId="3" fillId="0" borderId="10" xfId="0" applyNumberFormat="1" applyFont="1" applyFill="1" applyBorder="1" applyAlignment="1"/>
    <xf numFmtId="167" fontId="0" fillId="0" borderId="10" xfId="0" applyNumberFormat="1" applyFont="1" applyBorder="1"/>
    <xf numFmtId="168" fontId="0" fillId="0" borderId="10" xfId="0" applyNumberFormat="1" applyFont="1" applyBorder="1"/>
    <xf numFmtId="170" fontId="0" fillId="0" borderId="10" xfId="0" applyNumberFormat="1" applyFont="1" applyBorder="1"/>
    <xf numFmtId="0" fontId="0" fillId="0" borderId="11" xfId="0" applyFont="1" applyBorder="1"/>
    <xf numFmtId="0" fontId="0" fillId="0" borderId="4" xfId="0" applyFont="1" applyBorder="1"/>
    <xf numFmtId="0" fontId="0" fillId="0" borderId="5" xfId="0" applyFont="1" applyFill="1" applyBorder="1"/>
    <xf numFmtId="2" fontId="22" fillId="0" borderId="5" xfId="0" applyNumberFormat="1" applyFont="1" applyBorder="1" applyAlignment="1">
      <alignment horizontal="center"/>
    </xf>
    <xf numFmtId="2" fontId="17" fillId="0" borderId="5" xfId="1" applyNumberFormat="1" applyFont="1" applyFill="1" applyBorder="1" applyAlignment="1">
      <alignment horizontal="center" vertical="center"/>
    </xf>
    <xf numFmtId="2" fontId="0" fillId="0" borderId="0" xfId="0" applyNumberFormat="1" applyBorder="1" applyAlignment="1">
      <alignment horizontal="center"/>
    </xf>
    <xf numFmtId="2" fontId="0" fillId="0" borderId="5" xfId="0" applyNumberFormat="1" applyBorder="1" applyAlignment="1">
      <alignment horizontal="center"/>
    </xf>
    <xf numFmtId="2" fontId="0" fillId="0" borderId="12" xfId="0" applyNumberFormat="1" applyBorder="1" applyAlignment="1">
      <alignment horizontal="center"/>
    </xf>
    <xf numFmtId="2" fontId="0" fillId="0" borderId="10" xfId="0" applyNumberFormat="1" applyBorder="1" applyAlignment="1">
      <alignment horizont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5433</xdr:colOff>
      <xdr:row>5</xdr:row>
      <xdr:rowOff>169891</xdr:rowOff>
    </xdr:from>
    <xdr:to>
      <xdr:col>13</xdr:col>
      <xdr:colOff>436884</xdr:colOff>
      <xdr:row>26</xdr:row>
      <xdr:rowOff>18531</xdr:rowOff>
    </xdr:to>
    <xdr:pic>
      <xdr:nvPicPr>
        <xdr:cNvPr id="2" name="Afbeelding 1">
          <a:extLst>
            <a:ext uri="{FF2B5EF4-FFF2-40B4-BE49-F238E27FC236}">
              <a16:creationId xmlns:a16="http://schemas.microsoft.com/office/drawing/2014/main" id="{B4F3A6CF-8B31-415E-8921-46366291B3AE}"/>
            </a:ext>
          </a:extLst>
        </xdr:cNvPr>
        <xdr:cNvPicPr>
          <a:picLocks noChangeAspect="1"/>
        </xdr:cNvPicPr>
      </xdr:nvPicPr>
      <xdr:blipFill>
        <a:blip xmlns:r="http://schemas.openxmlformats.org/officeDocument/2006/relationships" r:embed="rId1"/>
        <a:stretch>
          <a:fillRect/>
        </a:stretch>
      </xdr:blipFill>
      <xdr:spPr>
        <a:xfrm>
          <a:off x="10283774" y="1079096"/>
          <a:ext cx="2348920" cy="36634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200025</xdr:colOff>
      <xdr:row>4</xdr:row>
      <xdr:rowOff>171450</xdr:rowOff>
    </xdr:from>
    <xdr:to>
      <xdr:col>6</xdr:col>
      <xdr:colOff>1117146</xdr:colOff>
      <xdr:row>23</xdr:row>
      <xdr:rowOff>42303</xdr:rowOff>
    </xdr:to>
    <xdr:pic>
      <xdr:nvPicPr>
        <xdr:cNvPr id="2" name="Afbeelding 1">
          <a:extLst>
            <a:ext uri="{FF2B5EF4-FFF2-40B4-BE49-F238E27FC236}">
              <a16:creationId xmlns:a16="http://schemas.microsoft.com/office/drawing/2014/main" id="{29898FB6-065B-481E-8D1C-DDC29D6EC734}"/>
            </a:ext>
          </a:extLst>
        </xdr:cNvPr>
        <xdr:cNvPicPr>
          <a:picLocks noChangeAspect="1"/>
        </xdr:cNvPicPr>
      </xdr:nvPicPr>
      <xdr:blipFill>
        <a:blip xmlns:r="http://schemas.openxmlformats.org/officeDocument/2006/relationships" r:embed="rId1"/>
        <a:stretch>
          <a:fillRect/>
        </a:stretch>
      </xdr:blipFill>
      <xdr:spPr>
        <a:xfrm>
          <a:off x="2924175" y="895350"/>
          <a:ext cx="3116580" cy="330937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at Vermeulen" id="{51D45FDE-E1C1-4FBB-975C-4FB3EAED8822}" userId="Kaat Vermeulen" providerId="None"/>
  <person displayName="Kaat Vermeulen" id="{1A8806C8-33C3-421C-B120-831DB6E5BF15}" userId="S::Kaat.Vermeulen@UGent.be::6f957114-ed73-4124-bcd8-b70e6103f52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49" dT="2022-01-29T01:06:58.10" personId="{51D45FDE-E1C1-4FBB-975C-4FB3EAED8822}" id="{7F86E9A7-33A5-4DC6-B119-A2492C43A9C4}">
    <text>The TN value is lower than the nitrate value!</text>
  </threadedComment>
</ThreadedComments>
</file>

<file path=xl/threadedComments/threadedComment2.xml><?xml version="1.0" encoding="utf-8"?>
<ThreadedComments xmlns="http://schemas.microsoft.com/office/spreadsheetml/2018/threadedcomments" xmlns:x="http://schemas.openxmlformats.org/spreadsheetml/2006/main">
  <threadedComment ref="I29" dT="2022-07-20T14:13:19.84" personId="{1A8806C8-33C3-421C-B120-831DB6E5BF15}" id="{949ED77F-5EDC-4B25-BBDC-164D36992779}">
    <text>Niet aan de Schelde</text>
  </threadedComment>
  <threadedComment ref="K30" dT="2022-07-20T14:25:53.50" personId="{1A8806C8-33C3-421C-B120-831DB6E5BF15}" id="{AADAB39E-8DDD-4F05-86D5-B9DD2884DCA6}">
    <text>Niet aan de Schelde</text>
  </threadedComment>
  <threadedComment ref="F31" dT="2022-07-20T14:36:17.87" personId="{1A8806C8-33C3-421C-B120-831DB6E5BF15}" id="{D998D157-823A-46BA-8855-5940A4E6CC49}">
    <text>Ligt niet echt aan de Schelde maar komt er wel in uit denk ik</text>
  </threadedComment>
  <threadedComment ref="K31" dT="2022-07-20T14:58:57.63" personId="{1A8806C8-33C3-421C-B120-831DB6E5BF15}" id="{0A825183-B04B-4B56-A1FB-E41EFB269071}">
    <text>Niet aan de Schelde</text>
  </threadedComment>
  <threadedComment ref="F32" dT="2022-07-20T14:49:29.90" personId="{1A8806C8-33C3-421C-B120-831DB6E5BF15}" id="{B72A14C2-6711-4CCF-B661-21D59CA47430}">
    <text>Ligt niet echt aan de Schelde maar komt er wel in uit denk ik</text>
  </threadedComment>
  <threadedComment ref="K32" dT="2022-07-20T14:59:07.88" personId="{1A8806C8-33C3-421C-B120-831DB6E5BF15}" id="{837D4400-CB2B-46FE-B576-DE0093C4E22A}">
    <text>Niet aan de Schelde</text>
  </threadedComment>
  <threadedComment ref="M32" dT="2022-07-20T15:02:10.43" personId="{1A8806C8-33C3-421C-B120-831DB6E5BF15}" id="{800B0BAC-818F-4978-B5D2-1EFB6C50BB00}">
    <text>Niet aan de Schelde</text>
  </threadedComment>
  <threadedComment ref="F33" dT="2022-07-20T15:07:47.31" personId="{1A8806C8-33C3-421C-B120-831DB6E5BF15}" id="{D0EC1E08-7D4E-4038-A03E-9E74E4E37D69}">
    <text>Ligt niet echt aan de Schelde maar komt er wel in uit denk ik</text>
  </threadedComment>
  <threadedComment ref="G33" dT="2022-07-20T15:11:00.75" personId="{1A8806C8-33C3-421C-B120-831DB6E5BF15}" id="{EB7FEE37-3AE2-4618-B8C5-78D4213FD0EB}">
    <text>Niet aan de Schelde</text>
  </threadedComment>
  <threadedComment ref="K33" dT="2022-07-20T15:15:23.76" personId="{1A8806C8-33C3-421C-B120-831DB6E5BF15}" id="{01189AA3-CA6B-458A-8B59-AA166C2B120B}">
    <text>Niet aan de Schelde</text>
  </threadedComment>
  <threadedComment ref="G34" dT="2022-07-20T15:27:33.71" personId="{1A8806C8-33C3-421C-B120-831DB6E5BF15}" id="{A129D536-EDDE-45B9-B90F-28787A720F31}">
    <text>Niet aan de Schelde</text>
  </threadedComment>
  <threadedComment ref="H34" dT="2022-07-20T15:30:20.93" personId="{1A8806C8-33C3-421C-B120-831DB6E5BF15}" id="{9A061F17-473D-44A0-B872-6AA8FC6E6B50}">
    <text>Niet aan de Schelde</text>
  </threadedComment>
  <threadedComment ref="K34" dT="2022-07-20T13:52:10.09" personId="{1A8806C8-33C3-421C-B120-831DB6E5BF15}" id="{916CEF9E-2EEE-4494-94E4-4E6DCCA18B42}">
    <text>Niet aan de Schelde</text>
  </threadedComment>
  <threadedComment ref="G35" dT="2022-07-20T15:48:12.02" personId="{1A8806C8-33C3-421C-B120-831DB6E5BF15}" id="{D7BC35C8-1B9C-45E7-BC8B-CDE078D21118}">
    <text>Niet aan de Schelde</text>
  </threadedComment>
  <threadedComment ref="K41" dT="2022-07-20T17:40:58.68" personId="{1A8806C8-33C3-421C-B120-831DB6E5BF15}" id="{7FEA7B05-4925-43A4-90D7-33F67C5709BE}">
    <text>Niet aan de Schelde</text>
  </threadedComment>
  <threadedComment ref="K42" dT="2022-07-20T18:28:48.37" personId="{1A8806C8-33C3-421C-B120-831DB6E5BF15}" id="{6FBEE93D-C0AB-4DE6-8D3E-FBF012F93322}">
    <text>Niet aan de Schelde</text>
  </threadedComment>
  <threadedComment ref="I43" dT="2022-07-20T18:12:42.01" personId="{1A8806C8-33C3-421C-B120-831DB6E5BF15}" id="{4BDBD6BC-732B-48F2-A91F-CEEE82D77B79}">
    <text>Komt wel uit in de Schelde denk ik</text>
  </threadedComment>
  <threadedComment ref="J43" dT="2022-07-20T18:20:01.85" personId="{1A8806C8-33C3-421C-B120-831DB6E5BF15}" id="{511055AF-C08D-4F0A-9561-A4F57D480BD4}">
    <text>Komt uit in het Albertkanaal en via sluis naar Schelde</text>
  </threadedComment>
  <threadedComment ref="K43" dT="2022-07-20T18:28:56.49" personId="{1A8806C8-33C3-421C-B120-831DB6E5BF15}" id="{24B47E86-A885-4DFD-98AC-715430DD6B98}">
    <text>Niet aan de Schelde</text>
  </threadedComment>
  <threadedComment ref="M43" dT="2022-07-20T18:27:41.83" personId="{1A8806C8-33C3-421C-B120-831DB6E5BF15}" id="{17B87755-774D-4D82-9C48-7C2DD3625C95}">
    <text>Komt wel uit in de Schelde denk ik</text>
  </threadedComment>
  <threadedComment ref="I44" dT="2022-07-20T18:35:22.08" personId="{1A8806C8-33C3-421C-B120-831DB6E5BF15}" id="{A90509C4-EFFC-443B-AA8B-3AAFC6C876CE}">
    <text>Komt wel uit in de Schelde denk ik</text>
  </threadedComment>
  <threadedComment ref="J44" dT="2022-07-20T18:36:18.90" personId="{1A8806C8-33C3-421C-B120-831DB6E5BF15}" id="{90266F95-7118-454B-8BE7-15E311D5C63E}">
    <text>Komt uit in het Albertkanaal en via sluis naar Schelde</text>
  </threadedComment>
  <threadedComment ref="K44" dT="2022-07-20T18:37:00.49" personId="{1A8806C8-33C3-421C-B120-831DB6E5BF15}" id="{027C503B-D20E-4C67-99A9-CB4C31713C67}">
    <text>Niet aan de Schelde</text>
  </threadedComment>
  <threadedComment ref="L44" dT="2022-07-20T18:38:18.89" personId="{1A8806C8-33C3-421C-B120-831DB6E5BF15}" id="{50E993F7-EB00-4FED-A571-4A7521D82942}">
    <text>Via sluis</text>
  </threadedComment>
  <threadedComment ref="F45" dT="2022-07-20T20:02:05.30" personId="{1A8806C8-33C3-421C-B120-831DB6E5BF15}" id="{B0162C83-EEA3-4200-A957-7A2EC0064A0A}">
    <text>Komt uit in het Albertkanaal en via sluis naar Schelde</text>
  </threadedComment>
  <threadedComment ref="H45" dT="2022-07-20T20:03:53.15" personId="{1A8806C8-33C3-421C-B120-831DB6E5BF15}" id="{42DECA40-CBBA-480E-B4AF-64101264FF1D}">
    <text>Via sluis</text>
  </threadedComment>
  <threadedComment ref="I45" dT="2022-07-20T20:06:11.53" personId="{1A8806C8-33C3-421C-B120-831DB6E5BF15}" id="{E52BEE2D-D530-493E-BA6D-39C5DE343FF5}">
    <text>Komt wel in Schelde denk ik</text>
  </threadedComment>
  <threadedComment ref="K45" dT="2022-07-20T20:17:21.41" personId="{1A8806C8-33C3-421C-B120-831DB6E5BF15}" id="{55DD60DA-C1C2-408A-9539-3EA5051921DF}">
    <text>Niet aan de Schelde</text>
  </threadedComment>
  <threadedComment ref="F46" dT="2022-07-20T20:29:22.09" personId="{1A8806C8-33C3-421C-B120-831DB6E5BF15}" id="{4630C8A2-1C58-4FA5-9958-62DE6786EF32}">
    <text>Komt uit in het Albertkanaal en via sluis naar Schelde</text>
  </threadedComment>
  <threadedComment ref="K46" dT="2022-07-20T20:36:56.47" personId="{1A8806C8-33C3-421C-B120-831DB6E5BF15}" id="{224C4B8B-ACB6-476B-B3A9-85711C75D01B}">
    <text>Niet aan de Schelde</text>
  </threadedComment>
  <threadedComment ref="G47" dT="2022-07-20T20:52:10.57" personId="{1A8806C8-33C3-421C-B120-831DB6E5BF15}" id="{460197D5-00F4-49C0-9122-75167DBF8FEB}">
    <text>Niet aan de Schelde</text>
  </threadedComment>
  <threadedComment ref="K47" dT="2022-07-20T20:51:39.08" personId="{1A8806C8-33C3-421C-B120-831DB6E5BF15}" id="{21A99C70-BAE8-4B58-BF56-6C7E62D5515C}">
    <text>Niet aan de Schelde</text>
  </threadedComment>
  <threadedComment ref="L47" dT="2022-07-20T20:58:58.10" personId="{1A8806C8-33C3-421C-B120-831DB6E5BF15}" id="{FD9200B5-768C-4767-ABF1-4113E4C14864}">
    <text>Via sluis</text>
  </threadedComment>
  <threadedComment ref="M47" dT="2022-07-20T20:59:05.43" personId="{1A8806C8-33C3-421C-B120-831DB6E5BF15}" id="{87532E06-B0A3-48CB-9C75-89265FA47202}">
    <text>Via sluis</text>
  </threadedComment>
  <threadedComment ref="G48" dT="2022-07-20T21:12:04.11" personId="{1A8806C8-33C3-421C-B120-831DB6E5BF15}" id="{03DD41C4-DEC4-44C8-92CD-50441F9405F0}">
    <text>Niet aan de Schelde</text>
  </threadedComment>
  <threadedComment ref="K48" dT="2022-07-20T21:12:24.05" personId="{1A8806C8-33C3-421C-B120-831DB6E5BF15}" id="{F9FDB22C-62AC-4FE8-ABF3-4D15E466BB76}">
    <text>Niet aan de Schelde</text>
  </threadedComment>
  <threadedComment ref="L48" dT="2022-07-20T21:12:46.78" personId="{1A8806C8-33C3-421C-B120-831DB6E5BF15}" id="{0232DAA9-29F5-4178-AAB0-A07591E70F8E}">
    <text>Via sluis</text>
  </threadedComment>
  <threadedComment ref="M48" dT="2022-07-20T21:12:59.71" personId="{1A8806C8-33C3-421C-B120-831DB6E5BF15}" id="{E8E45FCD-CE32-4B29-9C70-5CCB6B3DF38B}">
    <text>Via sluis</text>
  </threadedComment>
  <threadedComment ref="G49" dT="2022-07-20T21:22:51.40" personId="{1A8806C8-33C3-421C-B120-831DB6E5BF15}" id="{316C4894-678D-4FAD-8A14-9078BF39CF7F}">
    <text>Niet aan de Schelde</text>
  </threadedComment>
  <threadedComment ref="K49" dT="2022-07-20T21:23:06.68" personId="{1A8806C8-33C3-421C-B120-831DB6E5BF15}" id="{542871EE-CCA9-4C6E-8242-6EF4985D7312}">
    <text>Niet aan de Schelde</text>
  </threadedComment>
  <threadedComment ref="L49" dT="2022-07-20T21:23:14.62" personId="{1A8806C8-33C3-421C-B120-831DB6E5BF15}" id="{6EEDDF96-3A27-4C1E-A754-4D2CD43CA89E}">
    <text>Via sluis</text>
  </threadedComment>
  <threadedComment ref="M49" dT="2022-07-20T21:23:25.38" personId="{1A8806C8-33C3-421C-B120-831DB6E5BF15}" id="{45E027DE-0D20-4EB7-A3E9-7BB7018E5002}">
    <text>Via sluis</text>
  </threadedComment>
  <threadedComment ref="G50" dT="2022-07-20T21:36:48.81" personId="{1A8806C8-33C3-421C-B120-831DB6E5BF15}" id="{BD8311D4-766B-41AB-9613-8C3B0E0CF2C3}">
    <text>Niet aan de Schelde</text>
  </threadedComment>
  <threadedComment ref="K50" dT="2022-07-20T21:36:58.74" personId="{1A8806C8-33C3-421C-B120-831DB6E5BF15}" id="{C581CC84-F681-45BB-8A1F-CD570B22DA52}">
    <text>Niet aan de Schelde</text>
  </threadedComment>
  <threadedComment ref="L50" dT="2022-07-20T21:37:08.44" personId="{1A8806C8-33C3-421C-B120-831DB6E5BF15}" id="{DE2D5478-D56D-4E91-B172-1D7C0D64F1A7}">
    <text>Via sluis</text>
  </threadedComment>
  <threadedComment ref="M50" dT="2022-07-20T21:37:16.75" personId="{1A8806C8-33C3-421C-B120-831DB6E5BF15}" id="{2005506E-91DE-4E80-84B0-246FFEC94098}">
    <text>Via sluis</text>
  </threadedComment>
  <threadedComment ref="G51" dT="2022-07-20T21:40:56.16" personId="{1A8806C8-33C3-421C-B120-831DB6E5BF15}" id="{6C415032-65E0-4410-8DF0-6B0AD7261288}">
    <text>Niet aan de Schelde</text>
  </threadedComment>
  <threadedComment ref="L51" dT="2022-07-20T21:48:35.48" personId="{1A8806C8-33C3-421C-B120-831DB6E5BF15}" id="{7765D915-A618-4BAE-820D-A5252664790B}">
    <text>Via sluis</text>
  </threadedComment>
  <threadedComment ref="M51" dT="2022-07-20T21:48:45.23" personId="{1A8806C8-33C3-421C-B120-831DB6E5BF15}" id="{05DD2697-30AF-45E9-9EFF-A525BFA55A59}">
    <text>Via sluis</text>
  </threadedComment>
  <threadedComment ref="I57" dT="2022-07-20T14:13:48.63" personId="{1A8806C8-33C3-421C-B120-831DB6E5BF15}" id="{FD58F203-8847-4834-8F78-005102BF7524}">
    <text>Niet aan de Schelde</text>
  </threadedComment>
  <threadedComment ref="K58" dT="2022-07-20T14:25:53.50" personId="{1A8806C8-33C3-421C-B120-831DB6E5BF15}" id="{8F68DF6E-B166-4E5D-B99E-A9C371919821}">
    <text>Niet aan de Schelde</text>
  </threadedComment>
  <threadedComment ref="F59" dT="2022-07-20T14:36:17.87" personId="{1A8806C8-33C3-421C-B120-831DB6E5BF15}" id="{582AE7E3-574F-44CB-92B8-4FB11042BA65}">
    <text>Ligt niet echt aan de Schelde maar komt er wel in uit denk ik</text>
  </threadedComment>
  <threadedComment ref="K59" dT="2022-07-20T14:59:20.11" personId="{1A8806C8-33C3-421C-B120-831DB6E5BF15}" id="{32F9F350-7F4C-4007-B8FB-DE3C1E18CD54}">
    <text>Niet aan de Schelde</text>
  </threadedComment>
  <threadedComment ref="F60" dT="2022-07-20T14:49:29.90" personId="{1A8806C8-33C3-421C-B120-831DB6E5BF15}" id="{9DCE4C6B-EB3C-422C-931B-AF4CE9CBA99F}">
    <text>Ligt niet echt aan de Schelde maar komt er wel in uit denk ik</text>
  </threadedComment>
  <threadedComment ref="K60" dT="2022-07-20T14:59:07.88" personId="{1A8806C8-33C3-421C-B120-831DB6E5BF15}" id="{B73D9881-40C7-4324-8280-EDB1646C5D6F}">
    <text>Niet aan de Schelde</text>
  </threadedComment>
  <threadedComment ref="M60" dT="2022-07-20T15:02:10.43" personId="{1A8806C8-33C3-421C-B120-831DB6E5BF15}" id="{001B9029-ECE2-4625-8E93-3F290987D268}">
    <text>Niet aan de Schelde</text>
  </threadedComment>
  <threadedComment ref="F61" dT="2022-07-20T15:07:47.31" personId="{1A8806C8-33C3-421C-B120-831DB6E5BF15}" id="{820D786A-A0E1-4364-A322-F62AC6E6B1A7}">
    <text>Ligt niet echt aan de Schelde maar komt er wel in uit denk ik</text>
  </threadedComment>
  <threadedComment ref="G61" dT="2022-07-20T15:11:00.75" personId="{1A8806C8-33C3-421C-B120-831DB6E5BF15}" id="{996580C7-33C1-413F-AF8B-2EF0E15753C8}">
    <text>Niet aan de Schelde</text>
  </threadedComment>
  <threadedComment ref="K61" dT="2022-07-20T15:15:23.76" personId="{1A8806C8-33C3-421C-B120-831DB6E5BF15}" id="{46F88765-3E61-4EEC-BA31-7427DA8CE0CA}">
    <text>Niet aan de Schelde</text>
  </threadedComment>
  <threadedComment ref="G62" dT="2022-07-20T15:27:33.71" personId="{1A8806C8-33C3-421C-B120-831DB6E5BF15}" id="{65984485-3787-4769-B03A-22758C3B95FC}">
    <text>Niet aan de Schelde</text>
  </threadedComment>
  <threadedComment ref="H62" dT="2022-07-20T15:30:20.93" personId="{1A8806C8-33C3-421C-B120-831DB6E5BF15}" id="{855D5F88-D8FF-4CC0-A2FD-435F5B0CEA8D}">
    <text>Niet aan de Schelde</text>
  </threadedComment>
  <threadedComment ref="K62" dT="2022-07-20T13:52:10.09" personId="{1A8806C8-33C3-421C-B120-831DB6E5BF15}" id="{244F57A3-6AE8-450C-9097-654FA82FCED1}">
    <text>Niet aan de Schelde</text>
  </threadedComment>
  <threadedComment ref="G63" dT="2022-07-20T15:48:12.02" personId="{1A8806C8-33C3-421C-B120-831DB6E5BF15}" id="{BEB49AEF-4683-4A87-8DDF-9408733DE13A}">
    <text>Niet aan de Schelde</text>
  </threadedComment>
  <threadedComment ref="K69" dT="2022-07-20T17:40:58.68" personId="{1A8806C8-33C3-421C-B120-831DB6E5BF15}" id="{02CC1E24-D32A-4626-BA2C-5147CA2CB261}">
    <text>Niet aan de Schelde</text>
  </threadedComment>
  <threadedComment ref="K70" dT="2022-07-20T18:28:48.37" personId="{1A8806C8-33C3-421C-B120-831DB6E5BF15}" id="{6FC00E6E-8CA9-4C11-B888-5B58AF796D2C}">
    <text>Niet aan de Schelde</text>
  </threadedComment>
  <threadedComment ref="I71" dT="2022-07-20T18:12:42.01" personId="{1A8806C8-33C3-421C-B120-831DB6E5BF15}" id="{055FA239-2844-45FB-9565-B1E090653192}">
    <text>Komt wel uit in de Schelde denk ik</text>
  </threadedComment>
  <threadedComment ref="J71" dT="2022-07-20T18:20:01.85" personId="{1A8806C8-33C3-421C-B120-831DB6E5BF15}" id="{7D66014F-6951-41B9-9AFA-86FA5FE881FB}">
    <text>Komt uit in het Albertkanaal en via sluis naar Schelde</text>
  </threadedComment>
  <threadedComment ref="K71" dT="2022-07-20T18:28:56.49" personId="{1A8806C8-33C3-421C-B120-831DB6E5BF15}" id="{5425910D-63C2-4781-8133-19D3B1C14CF7}">
    <text>Niet aan de Schelde</text>
  </threadedComment>
  <threadedComment ref="M71" dT="2022-07-20T18:27:41.83" personId="{1A8806C8-33C3-421C-B120-831DB6E5BF15}" id="{D5E67257-2D98-4BA6-84D4-DC7E8C9CF30A}">
    <text>Komt wel uit in de Schelde denk ik</text>
  </threadedComment>
  <threadedComment ref="I72" dT="2022-07-20T18:35:22.08" personId="{1A8806C8-33C3-421C-B120-831DB6E5BF15}" id="{72AA623C-48C8-40A8-BDA1-94A6EE2FF356}">
    <text>Komt wel uit in de Schelde denk ik</text>
  </threadedComment>
  <threadedComment ref="J72" dT="2022-07-20T18:36:18.90" personId="{1A8806C8-33C3-421C-B120-831DB6E5BF15}" id="{A54380F7-B4F5-4008-B0EB-BE790A438C84}">
    <text>Komt uit in het Albertkanaal en via sluis naar Schelde</text>
  </threadedComment>
  <threadedComment ref="K72" dT="2022-07-20T18:37:00.49" personId="{1A8806C8-33C3-421C-B120-831DB6E5BF15}" id="{0DED957A-B19F-4249-95F9-0AAEE132B21F}">
    <text>Niet aan de Schelde</text>
  </threadedComment>
  <threadedComment ref="L72" dT="2022-07-20T18:38:18.89" personId="{1A8806C8-33C3-421C-B120-831DB6E5BF15}" id="{A69A05BD-7AB2-494B-8710-D60A8EF0EE5C}">
    <text>Via sluis</text>
  </threadedComment>
  <threadedComment ref="F73" dT="2022-07-20T20:02:19.07" personId="{1A8806C8-33C3-421C-B120-831DB6E5BF15}" id="{D1AFA7C9-C45E-42C0-BE60-F9C28C414533}">
    <text>Komt uit in het Albertkanaal en via sluis naar Schelde</text>
  </threadedComment>
  <threadedComment ref="H73" dT="2022-07-20T20:04:11.13" personId="{1A8806C8-33C3-421C-B120-831DB6E5BF15}" id="{9B849BC2-DB0E-4E7F-8E31-9356AE4B7915}">
    <text>Via sluis</text>
  </threadedComment>
  <threadedComment ref="I73" dT="2022-07-20T20:06:35.78" personId="{1A8806C8-33C3-421C-B120-831DB6E5BF15}" id="{C9BA5C68-4698-4671-BBD3-C078D52A3A95}">
    <text>Komt wel in Schelde denk ik</text>
  </threadedComment>
  <threadedComment ref="K73" dT="2022-07-20T20:17:32.57" personId="{1A8806C8-33C3-421C-B120-831DB6E5BF15}" id="{273FF18E-69C8-46AE-B6B3-037274E7BA7D}">
    <text>Niet aan de Schelde</text>
  </threadedComment>
  <threadedComment ref="F74" dT="2022-07-20T20:29:22.09" personId="{1A8806C8-33C3-421C-B120-831DB6E5BF15}" id="{F1A0BB42-E7D1-43E1-9B0D-1D2B3C1CCE2F}">
    <text>Komt uit in het Albertkanaal en via sluis naar Schelde</text>
  </threadedComment>
  <threadedComment ref="K74" dT="2022-07-20T20:36:56.47" personId="{1A8806C8-33C3-421C-B120-831DB6E5BF15}" id="{10F914F3-6AB4-430F-9F30-1E14FEC29E77}">
    <text>Niet aan de Schelde</text>
  </threadedComment>
  <threadedComment ref="G75" dT="2022-07-20T20:52:10.57" personId="{1A8806C8-33C3-421C-B120-831DB6E5BF15}" id="{C796F174-F135-4DB0-8B82-CEA17E4C52EA}">
    <text>Niet aan de Schelde</text>
  </threadedComment>
  <threadedComment ref="K75" dT="2022-07-20T20:51:39.08" personId="{1A8806C8-33C3-421C-B120-831DB6E5BF15}" id="{42E5D5E6-EB59-44ED-85CD-74F88822B922}">
    <text>Niet aan de Schelde</text>
  </threadedComment>
  <threadedComment ref="L75" dT="2022-07-20T20:58:58.10" personId="{1A8806C8-33C3-421C-B120-831DB6E5BF15}" id="{3DA15CBA-7597-4AFB-BE68-A9995AB2A0EE}">
    <text>Via sluis</text>
  </threadedComment>
  <threadedComment ref="M75" dT="2022-07-20T20:59:05.43" personId="{1A8806C8-33C3-421C-B120-831DB6E5BF15}" id="{8A4D4A3F-CE95-4975-B6A3-A589D57C50A9}">
    <text>Via sluis</text>
  </threadedComment>
  <threadedComment ref="G76" dT="2022-07-20T21:13:46.41" personId="{1A8806C8-33C3-421C-B120-831DB6E5BF15}" id="{BF8B9E14-212C-4171-82E6-960461BD91CB}">
    <text>Niet aan de Schelde</text>
  </threadedComment>
  <threadedComment ref="K76" dT="2022-07-20T21:14:05.04" personId="{1A8806C8-33C3-421C-B120-831DB6E5BF15}" id="{A266F97A-1D45-4567-9FE2-335D4F77C01B}">
    <text>Niet aan de Schelde</text>
  </threadedComment>
  <threadedComment ref="L76" dT="2022-07-20T21:14:15.25" personId="{1A8806C8-33C3-421C-B120-831DB6E5BF15}" id="{7C6D104B-5353-4298-A2CF-A18EF3D3E131}">
    <text>Via sluis</text>
  </threadedComment>
  <threadedComment ref="M76" dT="2022-07-20T21:14:26.75" personId="{1A8806C8-33C3-421C-B120-831DB6E5BF15}" id="{59E5BBB0-998D-4FB0-B37E-668863AFA0A2}">
    <text>Via sluis</text>
  </threadedComment>
  <threadedComment ref="G78" dT="2022-07-20T21:36:48.81" personId="{1A8806C8-33C3-421C-B120-831DB6E5BF15}" id="{67611877-BD6E-4385-9683-FF00CDC2672E}">
    <text>Niet aan de Schelde</text>
  </threadedComment>
  <threadedComment ref="K78" dT="2022-07-20T21:36:58.74" personId="{1A8806C8-33C3-421C-B120-831DB6E5BF15}" id="{50D9311D-DD03-41D3-9C9F-978325736E47}">
    <text>Niet aan de Schelde</text>
  </threadedComment>
  <threadedComment ref="L78" dT="2022-07-20T21:37:08.44" personId="{1A8806C8-33C3-421C-B120-831DB6E5BF15}" id="{399F4A14-2739-49F6-B67D-77C4B5B6F1EA}">
    <text>Via sluis</text>
  </threadedComment>
  <threadedComment ref="M78" dT="2022-07-20T21:37:16.75" personId="{1A8806C8-33C3-421C-B120-831DB6E5BF15}" id="{3FAAAFA0-FF71-476E-ACF6-382E7F8D57BB}">
    <text>Via sluis</text>
  </threadedComment>
  <threadedComment ref="G79" dT="2022-07-20T21:52:49.43" personId="{1A8806C8-33C3-421C-B120-831DB6E5BF15}" id="{F7C955C8-813B-4E68-B534-C00BBA6C0711}">
    <text>Niet aan de Schelde</text>
  </threadedComment>
  <threadedComment ref="H79" dT="2022-07-20T21:55:19.71" personId="{1A8806C8-33C3-421C-B120-831DB6E5BF15}" id="{FFDE1DF2-A09D-4E4D-98CE-ECCF4F105672}">
    <text>Via sluis</text>
  </threadedComment>
  <threadedComment ref="I79" dT="2022-07-20T21:55:26.68" personId="{1A8806C8-33C3-421C-B120-831DB6E5BF15}" id="{D1625C87-449B-4323-823A-F77305B862D9}">
    <text>Via sluis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7.bin"/><Relationship Id="rId1" Type="http://schemas.openxmlformats.org/officeDocument/2006/relationships/hyperlink" Target="https://www.geopunt.be/kaart?type=dataset&amp;data=%5B%7B%27type%27%3A%27WMS%27%2C%27url%27%3A%27https%3A%2F%2Fgeoservices.informatievlaanderen.be%2Fraadpleegdiensten%2FNutsdiensten_en_overheidsdiensten%2Fwms%3Frequest%3DGetMap%26version%3D1.3.0%26service%3Dwms%27%2C%27layers%27%3A%5B%7B%27id%27%3A%27HYDPNT%27%2C%27title%27%3A%27Hydraulisch%20punt%27%7D%5D%7D%5D"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H70"/>
  <sheetViews>
    <sheetView tabSelected="1" zoomScale="40" zoomScaleNormal="40" workbookViewId="0">
      <pane ySplit="1" topLeftCell="A2" activePane="bottomLeft" state="frozen"/>
      <selection pane="bottomLeft" activeCell="Q42" sqref="Q42"/>
    </sheetView>
  </sheetViews>
  <sheetFormatPr defaultRowHeight="14.4" x14ac:dyDescent="0.3"/>
  <cols>
    <col min="1" max="1" width="9.77734375" customWidth="1"/>
    <col min="4" max="4" width="14.5546875" bestFit="1" customWidth="1"/>
    <col min="5" max="5" width="14.21875" customWidth="1"/>
    <col min="8" max="8" width="15.33203125" bestFit="1" customWidth="1"/>
    <col min="9" max="9" width="24.77734375" customWidth="1"/>
    <col min="10" max="10" width="8.88671875" customWidth="1"/>
    <col min="11" max="11" width="9.33203125" bestFit="1" customWidth="1"/>
    <col min="12" max="12" width="11.109375" bestFit="1" customWidth="1"/>
    <col min="13" max="13" width="30.21875" bestFit="1" customWidth="1"/>
    <col min="14" max="14" width="13.44140625" customWidth="1"/>
    <col min="15" max="15" width="20" bestFit="1" customWidth="1"/>
    <col min="17" max="17" width="25.109375" customWidth="1"/>
    <col min="18" max="18" width="8.88671875" customWidth="1"/>
    <col min="19" max="19" width="21.5546875" customWidth="1"/>
    <col min="20" max="20" width="14.6640625" bestFit="1" customWidth="1"/>
    <col min="21" max="21" width="19.33203125" customWidth="1"/>
    <col min="22" max="22" width="23.5546875" customWidth="1"/>
    <col min="23" max="24" width="8.88671875" customWidth="1"/>
    <col min="25" max="25" width="17.33203125" customWidth="1"/>
    <col min="26" max="26" width="10.109375" customWidth="1"/>
    <col min="27" max="27" width="18.33203125" customWidth="1"/>
    <col min="28" max="29" width="13.5546875" customWidth="1"/>
    <col min="30" max="30" width="8.88671875" customWidth="1"/>
    <col min="31" max="31" width="13.21875" customWidth="1"/>
    <col min="32" max="32" width="20.33203125" customWidth="1"/>
    <col min="33" max="33" width="18.109375" customWidth="1"/>
    <col min="34" max="34" width="19" customWidth="1"/>
    <col min="35" max="35" width="16.6640625" customWidth="1"/>
    <col min="36" max="36" width="19.5546875" customWidth="1"/>
    <col min="37" max="37" width="14.44140625" customWidth="1"/>
    <col min="39" max="39" width="13.44140625" customWidth="1"/>
    <col min="40" max="40" width="19.109375" customWidth="1"/>
    <col min="41" max="41" width="22.6640625" customWidth="1"/>
    <col min="42" max="42" width="20.109375" customWidth="1"/>
    <col min="43" max="43" width="20.88671875" customWidth="1"/>
    <col min="44" max="44" width="26.109375" customWidth="1"/>
    <col min="47" max="47" width="19.77734375" bestFit="1" customWidth="1"/>
    <col min="48" max="48" width="21.88671875" bestFit="1" customWidth="1"/>
    <col min="49" max="49" width="29" customWidth="1"/>
    <col min="50" max="50" width="26.109375" customWidth="1"/>
    <col min="51" max="51" width="29.21875" customWidth="1"/>
    <col min="52" max="52" width="25.77734375" customWidth="1"/>
    <col min="53" max="53" width="27.77734375" customWidth="1"/>
    <col min="54" max="54" width="26.5546875" customWidth="1"/>
    <col min="55" max="55" width="25.77734375" customWidth="1"/>
    <col min="56" max="56" width="20.33203125" bestFit="1" customWidth="1"/>
    <col min="57" max="57" width="20.6640625" bestFit="1" customWidth="1"/>
    <col min="58" max="58" width="15.5546875" customWidth="1"/>
    <col min="59" max="59" width="18.5546875" customWidth="1"/>
    <col min="60" max="60" width="20.33203125" customWidth="1"/>
    <col min="61" max="61" width="21.88671875" customWidth="1"/>
    <col min="63" max="63" width="10.21875" customWidth="1"/>
    <col min="64" max="64" width="12.33203125" bestFit="1" customWidth="1"/>
    <col min="65" max="65" width="14.88671875" customWidth="1"/>
    <col min="66" max="66" width="15.5546875" customWidth="1"/>
    <col min="67" max="67" width="16" customWidth="1"/>
    <col min="68" max="68" width="24.21875" customWidth="1"/>
    <col min="69" max="69" width="24.109375" customWidth="1"/>
    <col min="70" max="70" width="20" customWidth="1"/>
    <col min="71" max="71" width="17.77734375" customWidth="1"/>
    <col min="72" max="72" width="16.21875" customWidth="1"/>
    <col min="73" max="73" width="15.6640625" customWidth="1"/>
    <col min="74" max="74" width="12.21875" bestFit="1" customWidth="1"/>
    <col min="75" max="76" width="12.6640625" bestFit="1" customWidth="1"/>
    <col min="77" max="77" width="13.33203125" bestFit="1" customWidth="1"/>
    <col min="78" max="82" width="12.6640625" bestFit="1" customWidth="1"/>
    <col min="83" max="83" width="12.21875" bestFit="1" customWidth="1"/>
    <col min="84" max="84" width="13.33203125" bestFit="1" customWidth="1"/>
    <col min="85" max="85" width="13.44140625" customWidth="1"/>
    <col min="86" max="86" width="12.77734375" customWidth="1"/>
    <col min="87" max="88" width="14.88671875" customWidth="1"/>
    <col min="89" max="90" width="12.21875" customWidth="1"/>
    <col min="91" max="91" width="12.88671875" customWidth="1"/>
    <col min="92" max="92" width="12.21875" customWidth="1"/>
    <col min="93" max="93" width="11.6640625" customWidth="1"/>
    <col min="94" max="95" width="11.109375" customWidth="1"/>
    <col min="96" max="96" width="14.109375" customWidth="1"/>
    <col min="97" max="97" width="14.88671875" customWidth="1"/>
    <col min="98" max="98" width="12.21875" customWidth="1"/>
    <col min="99" max="99" width="18.33203125" customWidth="1"/>
    <col min="112" max="112" width="16.33203125" customWidth="1"/>
  </cols>
  <sheetData>
    <row r="1" spans="1:112" ht="16.8" x14ac:dyDescent="0.35">
      <c r="A1" s="89" t="s">
        <v>102</v>
      </c>
      <c r="B1" s="61" t="s">
        <v>440</v>
      </c>
      <c r="C1" s="61" t="s">
        <v>0</v>
      </c>
      <c r="D1" s="61" t="s">
        <v>1</v>
      </c>
      <c r="E1" s="61" t="s">
        <v>2</v>
      </c>
      <c r="F1" s="61" t="s">
        <v>3</v>
      </c>
      <c r="G1" s="61" t="s">
        <v>4</v>
      </c>
      <c r="H1" s="61" t="s">
        <v>5</v>
      </c>
      <c r="I1" s="61" t="s">
        <v>6</v>
      </c>
      <c r="J1" s="61" t="s">
        <v>7</v>
      </c>
      <c r="K1" s="61" t="s">
        <v>108</v>
      </c>
      <c r="L1" s="61" t="s">
        <v>8</v>
      </c>
      <c r="M1" s="61" t="s">
        <v>112</v>
      </c>
      <c r="N1" s="61" t="s">
        <v>9</v>
      </c>
      <c r="O1" s="61" t="s">
        <v>347</v>
      </c>
      <c r="P1" s="61" t="s">
        <v>441</v>
      </c>
      <c r="Q1" s="61" t="s">
        <v>348</v>
      </c>
      <c r="R1" s="61" t="s">
        <v>10</v>
      </c>
      <c r="S1" s="61" t="s">
        <v>476</v>
      </c>
      <c r="T1" s="61" t="s">
        <v>11</v>
      </c>
      <c r="U1" s="61" t="s">
        <v>12</v>
      </c>
      <c r="V1" s="61" t="s">
        <v>13</v>
      </c>
      <c r="W1" s="61" t="s">
        <v>16</v>
      </c>
      <c r="X1" s="61" t="s">
        <v>17</v>
      </c>
      <c r="Y1" s="61" t="s">
        <v>18</v>
      </c>
      <c r="Z1" s="61" t="s">
        <v>19</v>
      </c>
      <c r="AA1" s="61" t="s">
        <v>173</v>
      </c>
      <c r="AB1" s="61" t="s">
        <v>20</v>
      </c>
      <c r="AC1" s="61" t="s">
        <v>21</v>
      </c>
      <c r="AD1" s="61" t="s">
        <v>22</v>
      </c>
      <c r="AE1" s="61" t="s">
        <v>23</v>
      </c>
      <c r="AF1" s="61" t="s">
        <v>24</v>
      </c>
      <c r="AG1" s="61" t="s">
        <v>25</v>
      </c>
      <c r="AH1" s="61" t="s">
        <v>26</v>
      </c>
      <c r="AI1" s="61" t="s">
        <v>118</v>
      </c>
      <c r="AJ1" s="61" t="s">
        <v>27</v>
      </c>
      <c r="AK1" s="61" t="s">
        <v>475</v>
      </c>
      <c r="AL1" s="90" t="s">
        <v>371</v>
      </c>
      <c r="AM1" s="61" t="s">
        <v>446</v>
      </c>
      <c r="AN1" s="61" t="s">
        <v>28</v>
      </c>
      <c r="AO1" s="61" t="s">
        <v>165</v>
      </c>
      <c r="AP1" s="61" t="s">
        <v>129</v>
      </c>
      <c r="AQ1" s="61" t="s">
        <v>130</v>
      </c>
      <c r="AR1" s="61" t="s">
        <v>29</v>
      </c>
      <c r="AS1" s="61" t="s">
        <v>442</v>
      </c>
      <c r="AT1" s="61" t="s">
        <v>443</v>
      </c>
      <c r="AU1" s="61" t="s">
        <v>361</v>
      </c>
      <c r="AV1" s="61" t="s">
        <v>362</v>
      </c>
      <c r="AW1" s="61" t="s">
        <v>332</v>
      </c>
      <c r="AX1" s="61" t="s">
        <v>335</v>
      </c>
      <c r="AY1" s="61" t="s">
        <v>333</v>
      </c>
      <c r="AZ1" s="61" t="s">
        <v>336</v>
      </c>
      <c r="BA1" s="61" t="s">
        <v>334</v>
      </c>
      <c r="BB1" s="61" t="s">
        <v>337</v>
      </c>
      <c r="BC1" s="61" t="s">
        <v>30</v>
      </c>
      <c r="BD1" s="61" t="s">
        <v>31</v>
      </c>
      <c r="BE1" s="61" t="s">
        <v>32</v>
      </c>
      <c r="BF1" s="61" t="s">
        <v>436</v>
      </c>
      <c r="BG1" s="61" t="s">
        <v>437</v>
      </c>
      <c r="BH1" s="61" t="s">
        <v>438</v>
      </c>
      <c r="BI1" s="61" t="s">
        <v>439</v>
      </c>
      <c r="BJ1" s="61" t="s">
        <v>363</v>
      </c>
      <c r="BK1" s="61" t="s">
        <v>111</v>
      </c>
      <c r="BL1" s="61" t="s">
        <v>364</v>
      </c>
      <c r="BM1" s="61" t="s">
        <v>365</v>
      </c>
      <c r="BN1" s="91" t="s">
        <v>477</v>
      </c>
      <c r="BO1" s="91" t="s">
        <v>478</v>
      </c>
      <c r="BP1" s="92" t="s">
        <v>379</v>
      </c>
      <c r="BQ1" s="92" t="s">
        <v>380</v>
      </c>
      <c r="BR1" s="92" t="s">
        <v>381</v>
      </c>
      <c r="BS1" s="92" t="s">
        <v>382</v>
      </c>
      <c r="BT1" s="92" t="s">
        <v>383</v>
      </c>
      <c r="BU1" s="92" t="s">
        <v>384</v>
      </c>
      <c r="BV1" s="61" t="s">
        <v>385</v>
      </c>
      <c r="BW1" s="61" t="s">
        <v>386</v>
      </c>
      <c r="BX1" s="61" t="s">
        <v>387</v>
      </c>
      <c r="BY1" s="61" t="s">
        <v>388</v>
      </c>
      <c r="BZ1" s="61" t="s">
        <v>389</v>
      </c>
      <c r="CA1" s="61" t="s">
        <v>390</v>
      </c>
      <c r="CB1" s="61" t="s">
        <v>391</v>
      </c>
      <c r="CC1" s="61" t="s">
        <v>392</v>
      </c>
      <c r="CD1" s="61" t="s">
        <v>393</v>
      </c>
      <c r="CE1" s="61" t="s">
        <v>394</v>
      </c>
      <c r="CF1" s="61" t="s">
        <v>395</v>
      </c>
      <c r="CG1" s="61" t="s">
        <v>396</v>
      </c>
      <c r="CH1" s="61" t="s">
        <v>14</v>
      </c>
      <c r="CI1" s="61" t="s">
        <v>15</v>
      </c>
      <c r="CJ1" s="61" t="s">
        <v>346</v>
      </c>
      <c r="CK1" s="61" t="s">
        <v>423</v>
      </c>
      <c r="CL1" s="61" t="s">
        <v>424</v>
      </c>
      <c r="CM1" s="61" t="s">
        <v>425</v>
      </c>
      <c r="CN1" s="61" t="s">
        <v>426</v>
      </c>
      <c r="CO1" s="61" t="s">
        <v>427</v>
      </c>
      <c r="CP1" s="61" t="s">
        <v>428</v>
      </c>
      <c r="CQ1" s="61" t="s">
        <v>429</v>
      </c>
      <c r="CR1" s="61" t="s">
        <v>417</v>
      </c>
      <c r="CS1" s="61" t="s">
        <v>430</v>
      </c>
      <c r="CT1" s="61" t="s">
        <v>431</v>
      </c>
      <c r="CU1" s="61" t="s">
        <v>419</v>
      </c>
      <c r="CV1" s="64" t="s">
        <v>462</v>
      </c>
      <c r="CW1" s="64" t="s">
        <v>463</v>
      </c>
      <c r="CX1" s="64" t="s">
        <v>464</v>
      </c>
      <c r="CY1" s="64" t="s">
        <v>465</v>
      </c>
      <c r="CZ1" s="64" t="s">
        <v>466</v>
      </c>
      <c r="DA1" s="64" t="s">
        <v>467</v>
      </c>
      <c r="DB1" s="64" t="s">
        <v>468</v>
      </c>
      <c r="DC1" s="64" t="s">
        <v>469</v>
      </c>
      <c r="DD1" s="64" t="s">
        <v>470</v>
      </c>
      <c r="DE1" s="64" t="s">
        <v>471</v>
      </c>
      <c r="DF1" s="64" t="s">
        <v>472</v>
      </c>
      <c r="DG1" s="64" t="s">
        <v>473</v>
      </c>
      <c r="DH1" s="72" t="s">
        <v>474</v>
      </c>
    </row>
    <row r="2" spans="1:112" x14ac:dyDescent="0.3">
      <c r="A2" s="73">
        <v>1</v>
      </c>
      <c r="B2" s="39" t="s">
        <v>444</v>
      </c>
      <c r="C2" s="39">
        <v>1</v>
      </c>
      <c r="D2" s="43" t="s">
        <v>103</v>
      </c>
      <c r="E2" s="44">
        <v>44235</v>
      </c>
      <c r="F2" s="43">
        <v>0.49583333333333335</v>
      </c>
      <c r="G2" s="39" t="s">
        <v>33</v>
      </c>
      <c r="H2" s="39" t="s">
        <v>34</v>
      </c>
      <c r="I2" s="39">
        <v>5</v>
      </c>
      <c r="J2" s="45">
        <v>8.08</v>
      </c>
      <c r="K2" s="39">
        <v>84.7</v>
      </c>
      <c r="L2" s="39">
        <v>10.72</v>
      </c>
      <c r="M2" s="39">
        <v>0.76300000000000001</v>
      </c>
      <c r="N2" s="39">
        <v>0.3</v>
      </c>
      <c r="O2" s="39" t="s">
        <v>341</v>
      </c>
      <c r="P2" s="39" t="s">
        <v>341</v>
      </c>
      <c r="Q2" s="39" t="s">
        <v>341</v>
      </c>
      <c r="R2" s="46">
        <f>(49.8+49.5+49.4)/3</f>
        <v>49.566666666666663</v>
      </c>
      <c r="S2" s="46">
        <f>(10.8+10.2+11.5)/3</f>
        <v>10.833333333333334</v>
      </c>
      <c r="T2" s="46" t="s">
        <v>109</v>
      </c>
      <c r="U2" s="47">
        <v>51.004277929390099</v>
      </c>
      <c r="V2" s="39">
        <v>3.8053552191707798</v>
      </c>
      <c r="W2" s="39">
        <v>1</v>
      </c>
      <c r="X2" s="39" t="s">
        <v>143</v>
      </c>
      <c r="Y2" s="39">
        <v>1</v>
      </c>
      <c r="Z2" s="40">
        <v>53.14</v>
      </c>
      <c r="AA2" s="48">
        <v>3.458426786661148</v>
      </c>
      <c r="AB2" s="39">
        <v>14.6</v>
      </c>
      <c r="AC2" s="39">
        <v>19</v>
      </c>
      <c r="AD2" s="39">
        <v>33.6</v>
      </c>
      <c r="AE2" s="39">
        <v>9.6115999999999993</v>
      </c>
      <c r="AF2" s="39">
        <v>2.1619999999999999</v>
      </c>
      <c r="AG2" s="39">
        <v>0.1225</v>
      </c>
      <c r="AH2" s="39">
        <v>7.0575000000000001</v>
      </c>
      <c r="AI2" s="39">
        <v>0.22819999999999999</v>
      </c>
      <c r="AJ2" s="39">
        <v>6.7100000000000007E-2</v>
      </c>
      <c r="AK2" s="39">
        <v>42.119193689745835</v>
      </c>
      <c r="AL2" s="40" t="s">
        <v>372</v>
      </c>
      <c r="AM2" s="39" t="s">
        <v>432</v>
      </c>
      <c r="AN2" s="49">
        <v>-4.9000000000000004</v>
      </c>
      <c r="AO2" s="49">
        <v>4.7</v>
      </c>
      <c r="AP2" s="49">
        <v>0</v>
      </c>
      <c r="AQ2" s="15">
        <v>1.5</v>
      </c>
      <c r="AR2" s="20">
        <v>71.900000000000006</v>
      </c>
      <c r="AS2" s="39">
        <v>4.1388418394413788</v>
      </c>
      <c r="AT2" s="39">
        <v>16.780818169322732</v>
      </c>
      <c r="AU2" s="39" t="s">
        <v>355</v>
      </c>
      <c r="AV2" s="39" t="s">
        <v>356</v>
      </c>
      <c r="AW2" s="48">
        <v>4107.4208779901846</v>
      </c>
      <c r="AX2" s="48">
        <v>4259.0088246522655</v>
      </c>
      <c r="AY2" s="48">
        <v>10.551508717520072</v>
      </c>
      <c r="AZ2" s="48">
        <v>10.940921341204874</v>
      </c>
      <c r="BA2" s="48">
        <v>1507.8120468435266</v>
      </c>
      <c r="BB2" s="48">
        <v>1563.4591643225604</v>
      </c>
      <c r="BC2" s="50">
        <v>5762.3567246106477</v>
      </c>
      <c r="BD2" s="51">
        <v>1.0209120260165616</v>
      </c>
      <c r="BE2" s="51">
        <v>0.4323384952879934</v>
      </c>
      <c r="BF2" s="48">
        <v>10.551508999999999</v>
      </c>
      <c r="BG2" s="50"/>
      <c r="BH2" s="51"/>
      <c r="BI2" s="51"/>
      <c r="BJ2" s="39" t="s">
        <v>39</v>
      </c>
      <c r="BK2" s="39" t="s">
        <v>317</v>
      </c>
      <c r="BL2" s="39" t="s">
        <v>366</v>
      </c>
      <c r="BM2" s="39"/>
      <c r="BN2" s="47">
        <v>9.9032919235119454</v>
      </c>
      <c r="BO2" s="39">
        <v>4.7823310590402333</v>
      </c>
      <c r="BP2" s="39">
        <v>-3.8744479165442298</v>
      </c>
      <c r="BQ2" s="39">
        <v>9.2373280714312074</v>
      </c>
      <c r="BR2" s="39">
        <v>44.262398091197625</v>
      </c>
      <c r="BS2" s="39">
        <v>-9.560712878260091</v>
      </c>
      <c r="BT2" s="39">
        <v>10.936859403485542</v>
      </c>
      <c r="BU2" s="39">
        <v>45.916841212189844</v>
      </c>
      <c r="BV2" s="52">
        <v>-3.8744479169999999</v>
      </c>
      <c r="BW2" s="52">
        <v>9.2373280710000003</v>
      </c>
      <c r="BX2" s="52">
        <v>44.262398089999998</v>
      </c>
      <c r="BY2" s="52">
        <v>-9.5607128780000004</v>
      </c>
      <c r="BZ2" s="52">
        <v>10.936859399999999</v>
      </c>
      <c r="CA2" s="52">
        <v>45.916841210000001</v>
      </c>
      <c r="CB2" s="52"/>
      <c r="CC2" s="52"/>
      <c r="CD2" s="52"/>
      <c r="CE2" s="52"/>
      <c r="CF2" s="52"/>
      <c r="CG2" s="52"/>
      <c r="CH2" s="39" t="s">
        <v>35</v>
      </c>
      <c r="CI2" s="39" t="s">
        <v>36</v>
      </c>
      <c r="CJ2" s="39" t="s">
        <v>36</v>
      </c>
      <c r="CK2" s="48">
        <v>0.22852133424529628</v>
      </c>
      <c r="CL2" s="48">
        <v>5.6344058124179364E-2</v>
      </c>
      <c r="CM2" s="48">
        <v>0.32367565998826053</v>
      </c>
      <c r="CN2" s="48">
        <v>3.982016979822924E-4</v>
      </c>
      <c r="CO2" s="48">
        <v>0.38083122522399521</v>
      </c>
      <c r="CP2" s="48">
        <v>0</v>
      </c>
      <c r="CQ2" s="48">
        <v>1.0229520720286333E-2</v>
      </c>
      <c r="CR2" s="39" t="s">
        <v>416</v>
      </c>
      <c r="CS2" s="48">
        <v>0.3800197181124399</v>
      </c>
      <c r="CT2" s="48">
        <v>0.3914589476422638</v>
      </c>
      <c r="CU2" s="39" t="s">
        <v>42</v>
      </c>
      <c r="CV2" s="40" t="s">
        <v>449</v>
      </c>
      <c r="CW2" s="40" t="s">
        <v>449</v>
      </c>
      <c r="CX2" s="40" t="s">
        <v>449</v>
      </c>
      <c r="CY2" s="40" t="s">
        <v>449</v>
      </c>
      <c r="CZ2" s="40" t="s">
        <v>449</v>
      </c>
      <c r="DA2" s="40" t="s">
        <v>449</v>
      </c>
      <c r="DB2" s="40" t="s">
        <v>449</v>
      </c>
      <c r="DC2" s="40" t="s">
        <v>449</v>
      </c>
      <c r="DD2" s="40" t="s">
        <v>449</v>
      </c>
      <c r="DE2" s="40" t="s">
        <v>449</v>
      </c>
      <c r="DF2" s="40" t="s">
        <v>449</v>
      </c>
      <c r="DG2" s="40" t="s">
        <v>449</v>
      </c>
      <c r="DH2" s="74">
        <v>13.99</v>
      </c>
    </row>
    <row r="3" spans="1:112" x14ac:dyDescent="0.3">
      <c r="A3" s="73">
        <v>1</v>
      </c>
      <c r="B3" s="39" t="s">
        <v>444</v>
      </c>
      <c r="C3" s="39">
        <v>2</v>
      </c>
      <c r="D3" s="39" t="s">
        <v>37</v>
      </c>
      <c r="E3" s="44">
        <v>44235</v>
      </c>
      <c r="F3" s="43">
        <v>0.58333333333333337</v>
      </c>
      <c r="G3" s="39" t="s">
        <v>38</v>
      </c>
      <c r="H3" s="39" t="s">
        <v>34</v>
      </c>
      <c r="I3" s="39">
        <v>5</v>
      </c>
      <c r="J3" s="39">
        <v>8.0069999999999997</v>
      </c>
      <c r="K3" s="39">
        <v>81.3</v>
      </c>
      <c r="L3" s="39">
        <v>10.25</v>
      </c>
      <c r="M3" s="39">
        <v>0.75800000000000001</v>
      </c>
      <c r="N3" s="39">
        <v>0.3</v>
      </c>
      <c r="O3" s="39" t="s">
        <v>341</v>
      </c>
      <c r="P3" s="39" t="s">
        <v>341</v>
      </c>
      <c r="Q3" s="39" t="s">
        <v>341</v>
      </c>
      <c r="R3" s="39">
        <f>(38.3+38.8+38.8)/3</f>
        <v>38.633333333333333</v>
      </c>
      <c r="S3" s="46">
        <f>(10.7+10.7+10.7)/3</f>
        <v>10.699999999999998</v>
      </c>
      <c r="T3" s="46">
        <f>(0.59+0.46+0.49)/3</f>
        <v>0.51333333333333331</v>
      </c>
      <c r="U3" s="47">
        <v>51.0081621411219</v>
      </c>
      <c r="V3" s="39">
        <v>3.8796790503293299</v>
      </c>
      <c r="W3" s="39">
        <v>1</v>
      </c>
      <c r="X3" s="39" t="s">
        <v>144</v>
      </c>
      <c r="Y3" s="39">
        <v>1</v>
      </c>
      <c r="Z3" s="40">
        <v>56.68</v>
      </c>
      <c r="AA3" s="48">
        <v>5.4139527273178096</v>
      </c>
      <c r="AB3" s="39">
        <v>14.4</v>
      </c>
      <c r="AC3" s="39">
        <v>20.8</v>
      </c>
      <c r="AD3" s="39">
        <v>35.200000000000003</v>
      </c>
      <c r="AE3" s="39">
        <v>8.7226999999999997</v>
      </c>
      <c r="AF3" s="39">
        <v>1.3242</v>
      </c>
      <c r="AG3" s="39">
        <v>0.12609999999999999</v>
      </c>
      <c r="AH3" s="39">
        <v>7.4375</v>
      </c>
      <c r="AI3" s="39">
        <v>0.19409999999999999</v>
      </c>
      <c r="AJ3" s="39">
        <v>6.08E-2</v>
      </c>
      <c r="AK3" s="39">
        <v>44.939206594538895</v>
      </c>
      <c r="AL3" s="40" t="s">
        <v>373</v>
      </c>
      <c r="AM3" s="39" t="s">
        <v>432</v>
      </c>
      <c r="AN3" s="49">
        <v>-4.9000000000000004</v>
      </c>
      <c r="AO3" s="49">
        <v>4</v>
      </c>
      <c r="AP3" s="39">
        <v>0</v>
      </c>
      <c r="AQ3" s="39">
        <v>1.24</v>
      </c>
      <c r="AR3" s="20">
        <v>80.400000000000006</v>
      </c>
      <c r="AS3" s="39">
        <v>3.5871012141955263</v>
      </c>
      <c r="AT3" s="39">
        <v>16.954506522432563</v>
      </c>
      <c r="AU3" s="39" t="s">
        <v>357</v>
      </c>
      <c r="AV3" s="39" t="s">
        <v>356</v>
      </c>
      <c r="AW3" s="48">
        <v>3168.3856012735669</v>
      </c>
      <c r="AX3" s="48">
        <v>3285.317632783755</v>
      </c>
      <c r="AY3" s="48">
        <v>4.7604295311759302</v>
      </c>
      <c r="AZ3" s="48">
        <v>4.9361173312081457</v>
      </c>
      <c r="BA3" s="48">
        <v>1031.0710946285526</v>
      </c>
      <c r="BB3" s="48">
        <v>1069.123671839448</v>
      </c>
      <c r="BC3" s="50">
        <v>124.89619400551059</v>
      </c>
      <c r="BD3" s="51">
        <v>0.20638065266229713</v>
      </c>
      <c r="BE3" s="51">
        <v>6.1698780295575933E-2</v>
      </c>
      <c r="BF3" s="48">
        <v>4.7604300000000004</v>
      </c>
      <c r="BG3" s="50">
        <v>124.89619400551059</v>
      </c>
      <c r="BH3" s="51">
        <v>0.20638065266229713</v>
      </c>
      <c r="BI3" s="51">
        <v>6.1698780295575933E-2</v>
      </c>
      <c r="BJ3" s="39" t="s">
        <v>39</v>
      </c>
      <c r="BK3" s="39" t="s">
        <v>318</v>
      </c>
      <c r="BL3" s="39" t="s">
        <v>366</v>
      </c>
      <c r="BM3" s="39"/>
      <c r="BN3" s="47">
        <v>10.34395303372181</v>
      </c>
      <c r="BO3" s="39">
        <v>5.8351192377962349</v>
      </c>
      <c r="BP3" s="39">
        <v>-6.5687694693351286</v>
      </c>
      <c r="BQ3" s="39">
        <v>10.419047283217363</v>
      </c>
      <c r="BR3" s="39">
        <v>43.090160270912008</v>
      </c>
      <c r="BS3" s="39">
        <v>-8.4522231703365218</v>
      </c>
      <c r="BT3" s="39">
        <v>9.0015711321831127</v>
      </c>
      <c r="BU3" s="39">
        <v>45.391250589898249</v>
      </c>
      <c r="BV3" s="52">
        <v>-6.5687694690000002</v>
      </c>
      <c r="BW3" s="52">
        <v>10.419047279999999</v>
      </c>
      <c r="BX3" s="52">
        <v>43.090160269999998</v>
      </c>
      <c r="BY3" s="52">
        <v>-8.4522231699999999</v>
      </c>
      <c r="BZ3" s="52">
        <v>9.0015711320000005</v>
      </c>
      <c r="CA3" s="52">
        <v>45.391250589999999</v>
      </c>
      <c r="CB3" s="52"/>
      <c r="CC3" s="52"/>
      <c r="CD3" s="52"/>
      <c r="CE3" s="52"/>
      <c r="CF3" s="52"/>
      <c r="CG3" s="52"/>
      <c r="CH3" s="39" t="s">
        <v>39</v>
      </c>
      <c r="CI3" s="39" t="s">
        <v>39</v>
      </c>
      <c r="CJ3" s="39" t="s">
        <v>39</v>
      </c>
      <c r="CK3" s="48">
        <v>0.4537783721016016</v>
      </c>
      <c r="CL3" s="48">
        <v>1.7761548884934558E-2</v>
      </c>
      <c r="CM3" s="48">
        <v>0.2322133097025095</v>
      </c>
      <c r="CN3" s="48">
        <v>0</v>
      </c>
      <c r="CO3" s="48">
        <v>0.29316780535876091</v>
      </c>
      <c r="CP3" s="48">
        <v>0</v>
      </c>
      <c r="CQ3" s="48">
        <v>3.0789639521935806E-3</v>
      </c>
      <c r="CR3" s="39" t="s">
        <v>420</v>
      </c>
      <c r="CS3" s="48">
        <v>0.24997485858744406</v>
      </c>
      <c r="CT3" s="48">
        <v>0.29624676931095451</v>
      </c>
      <c r="CU3" s="39" t="s">
        <v>420</v>
      </c>
      <c r="CV3" s="40" t="s">
        <v>449</v>
      </c>
      <c r="CW3" s="40" t="s">
        <v>449</v>
      </c>
      <c r="CX3" s="40" t="s">
        <v>449</v>
      </c>
      <c r="CY3" s="40" t="s">
        <v>449</v>
      </c>
      <c r="CZ3" s="40" t="s">
        <v>449</v>
      </c>
      <c r="DA3" s="40" t="s">
        <v>449</v>
      </c>
      <c r="DB3" s="40" t="s">
        <v>449</v>
      </c>
      <c r="DC3" s="40" t="s">
        <v>449</v>
      </c>
      <c r="DD3" s="40" t="s">
        <v>449</v>
      </c>
      <c r="DE3" s="40" t="s">
        <v>449</v>
      </c>
      <c r="DF3" s="40" t="s">
        <v>449</v>
      </c>
      <c r="DG3" s="40" t="s">
        <v>449</v>
      </c>
      <c r="DH3" s="74">
        <v>398.41</v>
      </c>
    </row>
    <row r="4" spans="1:112" x14ac:dyDescent="0.3">
      <c r="A4" s="73">
        <v>1</v>
      </c>
      <c r="B4" s="39" t="s">
        <v>444</v>
      </c>
      <c r="C4" s="39">
        <v>3</v>
      </c>
      <c r="D4" s="39" t="s">
        <v>40</v>
      </c>
      <c r="E4" s="44">
        <v>44235</v>
      </c>
      <c r="F4" s="43">
        <v>0.65416666666666667</v>
      </c>
      <c r="G4" s="39" t="s">
        <v>41</v>
      </c>
      <c r="H4" s="39" t="s">
        <v>34</v>
      </c>
      <c r="I4" s="39">
        <v>5.2</v>
      </c>
      <c r="J4" s="39">
        <v>8.0619999999999994</v>
      </c>
      <c r="K4" s="39">
        <v>84.9</v>
      </c>
      <c r="L4" s="39">
        <v>10.67</v>
      </c>
      <c r="M4" s="39">
        <v>0.749</v>
      </c>
      <c r="N4" s="39">
        <v>0.3</v>
      </c>
      <c r="O4" s="39" t="s">
        <v>341</v>
      </c>
      <c r="P4" s="39" t="s">
        <v>341</v>
      </c>
      <c r="Q4" s="39" t="s">
        <v>341</v>
      </c>
      <c r="R4" s="39">
        <f>45.3</f>
        <v>45.3</v>
      </c>
      <c r="S4" s="46">
        <f>(11.1+11.2+11.5)/3</f>
        <v>11.266666666666666</v>
      </c>
      <c r="T4" s="46">
        <f>(0.49+0.51+0.48)/3</f>
        <v>0.49333333333333335</v>
      </c>
      <c r="U4" s="47">
        <v>51.013137216075798</v>
      </c>
      <c r="V4" s="39">
        <v>3.9307155045057698</v>
      </c>
      <c r="W4" s="39">
        <v>1</v>
      </c>
      <c r="X4" s="39" t="s">
        <v>143</v>
      </c>
      <c r="Y4" s="39">
        <v>2</v>
      </c>
      <c r="Z4" s="40">
        <v>59.53</v>
      </c>
      <c r="AA4" s="48">
        <v>4.0326465511322027</v>
      </c>
      <c r="AB4" s="39">
        <v>14.2</v>
      </c>
      <c r="AC4" s="39">
        <v>22.5</v>
      </c>
      <c r="AD4" s="39">
        <v>36.799999999999997</v>
      </c>
      <c r="AE4" s="39">
        <v>10.035</v>
      </c>
      <c r="AF4" s="39">
        <v>1.0508999999999999</v>
      </c>
      <c r="AG4" s="39">
        <v>0.13639999999999999</v>
      </c>
      <c r="AH4" s="39">
        <v>6.8589000000000002</v>
      </c>
      <c r="AI4" s="39">
        <v>0.21529999999999999</v>
      </c>
      <c r="AJ4" s="39">
        <v>5.8200000000000002E-2</v>
      </c>
      <c r="AK4" s="39">
        <v>46.609382257315374</v>
      </c>
      <c r="AL4" s="40" t="s">
        <v>373</v>
      </c>
      <c r="AM4" s="39" t="s">
        <v>433</v>
      </c>
      <c r="AN4" s="49">
        <v>-4.7</v>
      </c>
      <c r="AO4" s="49">
        <v>4.3</v>
      </c>
      <c r="AP4" s="39">
        <v>0</v>
      </c>
      <c r="AQ4" s="39">
        <v>1.24</v>
      </c>
      <c r="AR4" s="20">
        <v>98.1</v>
      </c>
      <c r="AS4" s="39">
        <v>3.2840647160898997</v>
      </c>
      <c r="AT4" s="39">
        <v>16.863128307489699</v>
      </c>
      <c r="AU4" s="39" t="s">
        <v>357</v>
      </c>
      <c r="AV4" s="39" t="s">
        <v>356</v>
      </c>
      <c r="AW4" s="48">
        <v>3653.4567335015918</v>
      </c>
      <c r="AX4" s="48">
        <v>3788.190284113125</v>
      </c>
      <c r="AY4" s="48">
        <v>4.5738173625862251</v>
      </c>
      <c r="AZ4" s="48">
        <v>4.7424923184051995</v>
      </c>
      <c r="BA4" s="48">
        <v>1188.9686413676791</v>
      </c>
      <c r="BB4" s="48">
        <v>1232.815873811486</v>
      </c>
      <c r="BC4" s="50">
        <v>141.93921399211214</v>
      </c>
      <c r="BD4" s="51">
        <v>0.25526754300244481</v>
      </c>
      <c r="BE4" s="51">
        <v>7.3193505299052164E-2</v>
      </c>
      <c r="BF4" s="48">
        <v>4.573817</v>
      </c>
      <c r="BG4" s="50">
        <v>141.93921399211214</v>
      </c>
      <c r="BH4" s="51">
        <v>0.25526754300244481</v>
      </c>
      <c r="BI4" s="51">
        <v>7.3193505299052164E-2</v>
      </c>
      <c r="BJ4" s="39" t="s">
        <v>39</v>
      </c>
      <c r="BK4" s="39" t="s">
        <v>318</v>
      </c>
      <c r="BL4" s="39" t="s">
        <v>366</v>
      </c>
      <c r="BM4" s="39"/>
      <c r="BN4" s="47">
        <v>10.301210678640169</v>
      </c>
      <c r="BO4" s="39">
        <v>5.8430781300665737</v>
      </c>
      <c r="BP4" s="39">
        <v>-3.7708370723537401</v>
      </c>
      <c r="BQ4" s="39">
        <v>18.130723029090582</v>
      </c>
      <c r="BR4" s="39">
        <v>44.405933405825806</v>
      </c>
      <c r="BS4" s="39">
        <v>-8.5614607316366094</v>
      </c>
      <c r="BT4" s="39">
        <v>13.320983053011432</v>
      </c>
      <c r="BU4" s="39">
        <v>45.075982195371154</v>
      </c>
      <c r="BV4" s="52">
        <v>-3.770837072</v>
      </c>
      <c r="BW4" s="52">
        <v>18.130723029999999</v>
      </c>
      <c r="BX4" s="52">
        <v>44.405933410000003</v>
      </c>
      <c r="BY4" s="52">
        <v>-8.5614607320000005</v>
      </c>
      <c r="BZ4" s="52">
        <v>13.320983050000001</v>
      </c>
      <c r="CA4" s="52">
        <v>45.075982199999999</v>
      </c>
      <c r="CB4" s="52"/>
      <c r="CC4" s="52"/>
      <c r="CD4" s="52"/>
      <c r="CE4" s="52"/>
      <c r="CF4" s="52"/>
      <c r="CG4" s="52"/>
      <c r="CH4" s="39" t="s">
        <v>42</v>
      </c>
      <c r="CI4" s="39" t="s">
        <v>39</v>
      </c>
      <c r="CJ4" s="39" t="s">
        <v>39</v>
      </c>
      <c r="CK4" s="48">
        <v>0.16672594840363414</v>
      </c>
      <c r="CL4" s="48">
        <v>6.0302201982870098E-2</v>
      </c>
      <c r="CM4" s="48">
        <v>0.52682758109822803</v>
      </c>
      <c r="CN4" s="48">
        <v>1.4191673567569327E-2</v>
      </c>
      <c r="CO4" s="48">
        <v>0.21725905681238183</v>
      </c>
      <c r="CP4" s="48">
        <v>5.0419488021876291E-4</v>
      </c>
      <c r="CQ4" s="48">
        <v>1.4189343255097726E-2</v>
      </c>
      <c r="CR4" s="39" t="s">
        <v>415</v>
      </c>
      <c r="CS4" s="48">
        <v>0.58712978308109809</v>
      </c>
      <c r="CT4" s="48">
        <v>0.24614426851526766</v>
      </c>
      <c r="CU4" s="39" t="s">
        <v>418</v>
      </c>
      <c r="CV4" s="40" t="s">
        <v>449</v>
      </c>
      <c r="CW4" s="40" t="s">
        <v>449</v>
      </c>
      <c r="CX4" s="40" t="s">
        <v>449</v>
      </c>
      <c r="CY4" s="40" t="s">
        <v>449</v>
      </c>
      <c r="CZ4" s="40" t="s">
        <v>449</v>
      </c>
      <c r="DA4" s="40" t="s">
        <v>449</v>
      </c>
      <c r="DB4" s="40" t="s">
        <v>449</v>
      </c>
      <c r="DC4" s="40" t="s">
        <v>449</v>
      </c>
      <c r="DD4" s="40" t="s">
        <v>449</v>
      </c>
      <c r="DE4" s="40" t="s">
        <v>449</v>
      </c>
      <c r="DF4" s="40" t="s">
        <v>449</v>
      </c>
      <c r="DG4" s="40" t="s">
        <v>449</v>
      </c>
      <c r="DH4" s="74">
        <v>95.15</v>
      </c>
    </row>
    <row r="5" spans="1:112" x14ac:dyDescent="0.3">
      <c r="A5" s="73">
        <v>1</v>
      </c>
      <c r="B5" s="39" t="s">
        <v>444</v>
      </c>
      <c r="C5" s="39">
        <v>4</v>
      </c>
      <c r="D5" s="39" t="s">
        <v>43</v>
      </c>
      <c r="E5" s="44">
        <v>44236</v>
      </c>
      <c r="F5" s="43">
        <v>0.43541666666666662</v>
      </c>
      <c r="G5" s="39" t="s">
        <v>44</v>
      </c>
      <c r="H5" s="39" t="s">
        <v>34</v>
      </c>
      <c r="I5" s="39">
        <v>3.9</v>
      </c>
      <c r="J5" s="39">
        <v>8.0790000000000006</v>
      </c>
      <c r="K5" s="39">
        <v>87.8</v>
      </c>
      <c r="L5" s="39">
        <v>11.53</v>
      </c>
      <c r="M5" s="39">
        <v>0.77800000000000002</v>
      </c>
      <c r="N5" s="39">
        <v>0.3</v>
      </c>
      <c r="O5" s="39" t="s">
        <v>341</v>
      </c>
      <c r="P5" s="39" t="s">
        <v>341</v>
      </c>
      <c r="Q5" s="39" t="s">
        <v>341</v>
      </c>
      <c r="R5" s="39">
        <f>(48.6+47.9+46.2)/3</f>
        <v>47.566666666666663</v>
      </c>
      <c r="S5" s="46">
        <f>(9.4+10+9.9)/3</f>
        <v>9.7666666666666657</v>
      </c>
      <c r="T5" s="46">
        <f>(0.79+1.05+0.75)/3</f>
        <v>0.86333333333333329</v>
      </c>
      <c r="U5" s="47">
        <v>51.015227351682299</v>
      </c>
      <c r="V5" s="39">
        <v>3.9737124871890899</v>
      </c>
      <c r="W5" s="39">
        <v>1</v>
      </c>
      <c r="X5" s="39" t="s">
        <v>143</v>
      </c>
      <c r="Y5" s="39">
        <v>2</v>
      </c>
      <c r="Z5" s="40">
        <v>72.19</v>
      </c>
      <c r="AA5" s="48">
        <v>1.9872520852088928</v>
      </c>
      <c r="AB5" s="39">
        <v>14.1</v>
      </c>
      <c r="AC5" s="39">
        <v>18</v>
      </c>
      <c r="AD5" s="39">
        <v>32.1</v>
      </c>
      <c r="AE5" s="39">
        <v>9.7606999999999999</v>
      </c>
      <c r="AF5" s="39">
        <v>1.1479999999999999</v>
      </c>
      <c r="AG5" s="39">
        <v>0.11600000000000001</v>
      </c>
      <c r="AH5" s="39">
        <v>7.0003000000000002</v>
      </c>
      <c r="AI5" s="39">
        <v>0.1784</v>
      </c>
      <c r="AJ5" s="39">
        <v>6.3200000000000006E-2</v>
      </c>
      <c r="AK5" s="39">
        <v>54.712443946188337</v>
      </c>
      <c r="AL5" s="40" t="s">
        <v>372</v>
      </c>
      <c r="AM5" s="39" t="s">
        <v>433</v>
      </c>
      <c r="AN5" s="49">
        <v>-5.8</v>
      </c>
      <c r="AO5" s="49">
        <v>5.0999999999999996</v>
      </c>
      <c r="AP5" s="39">
        <v>0</v>
      </c>
      <c r="AQ5" s="39">
        <v>1.8</v>
      </c>
      <c r="AR5" s="20">
        <v>163.6</v>
      </c>
      <c r="AS5" s="39">
        <v>3.1451406684246659</v>
      </c>
      <c r="AT5" s="39">
        <v>16.996524418731184</v>
      </c>
      <c r="AU5" s="39" t="s">
        <v>357</v>
      </c>
      <c r="AV5" s="39" t="s">
        <v>356</v>
      </c>
      <c r="AW5" s="48">
        <v>4016.1318875231527</v>
      </c>
      <c r="AX5" s="48">
        <v>4161.845294326874</v>
      </c>
      <c r="AY5" s="48">
        <v>6.5832502464473333</v>
      </c>
      <c r="AZ5" s="48">
        <v>6.8221039116447857</v>
      </c>
      <c r="BA5" s="48">
        <v>1414.7861423777665</v>
      </c>
      <c r="BB5" s="48">
        <v>1466.117451826296</v>
      </c>
      <c r="BC5" s="50">
        <v>111.64686015074446</v>
      </c>
      <c r="BD5" s="51">
        <v>0.24059698361525267</v>
      </c>
      <c r="BE5" s="51">
        <v>0.1072532726188743</v>
      </c>
      <c r="BF5" s="48">
        <v>6.5832499999999996</v>
      </c>
      <c r="BG5" s="50">
        <v>111.64686015074446</v>
      </c>
      <c r="BH5" s="51">
        <v>0.24059698361525267</v>
      </c>
      <c r="BI5" s="51">
        <v>0.1072532726188743</v>
      </c>
      <c r="BJ5" s="39" t="s">
        <v>42</v>
      </c>
      <c r="BK5" s="39" t="s">
        <v>317</v>
      </c>
      <c r="BL5" s="39" t="s">
        <v>366</v>
      </c>
      <c r="BM5" s="39"/>
      <c r="BN5" s="47">
        <v>10.357794846660697</v>
      </c>
      <c r="BO5" s="39">
        <v>6.7034501039426839</v>
      </c>
      <c r="BP5" s="39">
        <v>-3.5761734082126564</v>
      </c>
      <c r="BQ5" s="39">
        <v>16.561306600930614</v>
      </c>
      <c r="BR5" s="39">
        <v>44.931396062150455</v>
      </c>
      <c r="BS5" s="39">
        <v>-6.5178484671979504</v>
      </c>
      <c r="BT5" s="39">
        <v>12.031296903242369</v>
      </c>
      <c r="BU5" s="39">
        <v>45.605026304781724</v>
      </c>
      <c r="BV5" s="52">
        <v>-3.5761734079999998</v>
      </c>
      <c r="BW5" s="52">
        <v>16.561306600000002</v>
      </c>
      <c r="BX5" s="52">
        <v>44.931396059999997</v>
      </c>
      <c r="BY5" s="52">
        <v>-6.5178484670000003</v>
      </c>
      <c r="BZ5" s="52">
        <v>12.031296899999999</v>
      </c>
      <c r="CA5" s="52">
        <v>45.605026299999999</v>
      </c>
      <c r="CB5" s="52"/>
      <c r="CC5" s="52"/>
      <c r="CD5" s="52"/>
      <c r="CE5" s="52"/>
      <c r="CF5" s="52"/>
      <c r="CG5" s="52"/>
      <c r="CH5" s="39" t="s">
        <v>35</v>
      </c>
      <c r="CI5" s="39" t="s">
        <v>42</v>
      </c>
      <c r="CJ5" s="39" t="s">
        <v>42</v>
      </c>
      <c r="CK5" s="48">
        <v>9.024779571113499E-2</v>
      </c>
      <c r="CL5" s="48">
        <v>4.8426030973230054E-2</v>
      </c>
      <c r="CM5" s="48">
        <v>0.54936720870911904</v>
      </c>
      <c r="CN5" s="48">
        <v>3.3004388283090512E-2</v>
      </c>
      <c r="CO5" s="48">
        <v>0.27143775110933538</v>
      </c>
      <c r="CP5" s="48">
        <v>2.8176768596833106E-4</v>
      </c>
      <c r="CQ5" s="48">
        <v>7.235057528121717E-3</v>
      </c>
      <c r="CR5" s="39" t="s">
        <v>415</v>
      </c>
      <c r="CS5" s="48">
        <v>0.5977932396823491</v>
      </c>
      <c r="CT5" s="48">
        <v>0.3119589646065159</v>
      </c>
      <c r="CU5" s="39" t="s">
        <v>418</v>
      </c>
      <c r="CV5" s="40" t="s">
        <v>450</v>
      </c>
      <c r="CW5" s="40" t="s">
        <v>0</v>
      </c>
      <c r="CX5" s="40" t="s">
        <v>449</v>
      </c>
      <c r="CY5" s="40" t="s">
        <v>449</v>
      </c>
      <c r="CZ5" s="40" t="s">
        <v>449</v>
      </c>
      <c r="DA5" s="40" t="s">
        <v>449</v>
      </c>
      <c r="DB5" s="40" t="s">
        <v>449</v>
      </c>
      <c r="DC5" s="40" t="s">
        <v>449</v>
      </c>
      <c r="DD5" s="40" t="s">
        <v>449</v>
      </c>
      <c r="DE5" s="40" t="s">
        <v>0</v>
      </c>
      <c r="DF5" s="40" t="s">
        <v>449</v>
      </c>
      <c r="DG5" s="40" t="s">
        <v>449</v>
      </c>
      <c r="DH5" s="74">
        <v>255.76</v>
      </c>
    </row>
    <row r="6" spans="1:112" x14ac:dyDescent="0.3">
      <c r="A6" s="73">
        <v>1</v>
      </c>
      <c r="B6" s="39" t="s">
        <v>444</v>
      </c>
      <c r="C6" s="39">
        <v>5</v>
      </c>
      <c r="D6" s="39" t="s">
        <v>45</v>
      </c>
      <c r="E6" s="44">
        <v>44236</v>
      </c>
      <c r="F6" s="43">
        <v>0.49652777777777773</v>
      </c>
      <c r="G6" s="39" t="s">
        <v>46</v>
      </c>
      <c r="H6" s="39" t="s">
        <v>34</v>
      </c>
      <c r="I6" s="39">
        <v>4.5999999999999996</v>
      </c>
      <c r="J6" s="39">
        <v>8.0990000000000002</v>
      </c>
      <c r="K6" s="39">
        <v>85.4</v>
      </c>
      <c r="L6" s="39">
        <v>10.92</v>
      </c>
      <c r="M6" s="39">
        <v>0.77100000000000002</v>
      </c>
      <c r="N6" s="39">
        <v>0.3</v>
      </c>
      <c r="O6" s="39" t="s">
        <v>341</v>
      </c>
      <c r="P6" s="39" t="s">
        <v>341</v>
      </c>
      <c r="Q6" s="39" t="s">
        <v>341</v>
      </c>
      <c r="R6" s="39">
        <f>(47.4+48.8+49.7)/3</f>
        <v>48.633333333333326</v>
      </c>
      <c r="S6" s="46">
        <f>(2.5+3.4+3.4)/3</f>
        <v>3.1</v>
      </c>
      <c r="T6" s="46">
        <f>(0.42+0.44+0.58)/3</f>
        <v>0.48</v>
      </c>
      <c r="U6" s="47">
        <v>51.028756000000001</v>
      </c>
      <c r="V6" s="39">
        <v>4.0412039999999996</v>
      </c>
      <c r="W6" s="39">
        <v>1</v>
      </c>
      <c r="X6" s="39" t="s">
        <v>143</v>
      </c>
      <c r="Y6" s="39">
        <v>2</v>
      </c>
      <c r="Z6" s="40">
        <v>84.78</v>
      </c>
      <c r="AA6" s="48">
        <v>7.1523907661437898</v>
      </c>
      <c r="AB6" s="39">
        <v>14.6</v>
      </c>
      <c r="AC6" s="39">
        <v>24.4</v>
      </c>
      <c r="AD6" s="39">
        <v>39</v>
      </c>
      <c r="AE6" s="39">
        <v>9.8242999999999991</v>
      </c>
      <c r="AF6" s="39">
        <v>0.92300000000000004</v>
      </c>
      <c r="AG6" s="39">
        <v>0.1123</v>
      </c>
      <c r="AH6" s="39">
        <v>6.9804000000000004</v>
      </c>
      <c r="AI6" s="39">
        <v>0.2064</v>
      </c>
      <c r="AJ6" s="39">
        <v>6.0299999999999999E-2</v>
      </c>
      <c r="AK6" s="39">
        <v>47.598352713178294</v>
      </c>
      <c r="AL6" s="40" t="s">
        <v>372</v>
      </c>
      <c r="AM6" s="39" t="s">
        <v>432</v>
      </c>
      <c r="AN6" s="39">
        <v>-1.43</v>
      </c>
      <c r="AO6" s="39">
        <v>2.61</v>
      </c>
      <c r="AP6" s="39">
        <v>1.8</v>
      </c>
      <c r="AQ6" s="39">
        <v>1.8</v>
      </c>
      <c r="AR6" s="20">
        <v>405.6</v>
      </c>
      <c r="AS6" s="39">
        <v>3.2137335181074387</v>
      </c>
      <c r="AT6" s="39">
        <v>16.90432413034441</v>
      </c>
      <c r="AU6" s="39" t="s">
        <v>357</v>
      </c>
      <c r="AV6" s="39" t="s">
        <v>356</v>
      </c>
      <c r="AW6" s="48">
        <v>3489.1379155908317</v>
      </c>
      <c r="AX6" s="48">
        <v>3566.5687327224841</v>
      </c>
      <c r="AY6" s="48">
        <v>3.4131134706245763</v>
      </c>
      <c r="AZ6" s="48">
        <v>3.4888571561385837</v>
      </c>
      <c r="BA6" s="48">
        <v>1068.4065448933318</v>
      </c>
      <c r="BB6" s="48">
        <v>1092.1165826737929</v>
      </c>
      <c r="BC6" s="50">
        <v>68.233124415267852</v>
      </c>
      <c r="BD6" s="51">
        <v>0.20795922834778707</v>
      </c>
      <c r="BE6" s="51">
        <v>3.9912993578777645E-2</v>
      </c>
      <c r="BF6" s="48">
        <v>3.4131130000000001</v>
      </c>
      <c r="BG6" s="50">
        <v>68.233124415267852</v>
      </c>
      <c r="BH6" s="51">
        <v>0.20795922834778707</v>
      </c>
      <c r="BI6" s="51">
        <v>3.9912993578777645E-2</v>
      </c>
      <c r="BJ6" s="39" t="s">
        <v>42</v>
      </c>
      <c r="BK6" s="39" t="s">
        <v>319</v>
      </c>
      <c r="BL6" s="39" t="s">
        <v>366</v>
      </c>
      <c r="BM6" s="39"/>
      <c r="BN6" s="47">
        <v>10.106459356524539</v>
      </c>
      <c r="BO6" s="39">
        <v>5.4667154872507711</v>
      </c>
      <c r="BP6" s="39">
        <v>-3.4726936740596641</v>
      </c>
      <c r="BQ6" s="39">
        <v>18.200909832773217</v>
      </c>
      <c r="BR6" s="39">
        <v>44.682785592627106</v>
      </c>
      <c r="BS6" s="39">
        <v>-6.942496318897323</v>
      </c>
      <c r="BT6" s="39">
        <v>11.054741662277292</v>
      </c>
      <c r="BU6" s="39">
        <v>46.151513898458155</v>
      </c>
      <c r="BV6" s="52">
        <v>-3.4726936739999998</v>
      </c>
      <c r="BW6" s="52">
        <v>18.200909830000001</v>
      </c>
      <c r="BX6" s="52">
        <v>44.682785590000002</v>
      </c>
      <c r="BY6" s="52">
        <v>-6.942496319</v>
      </c>
      <c r="BZ6" s="52">
        <v>11.054741659999999</v>
      </c>
      <c r="CA6" s="52">
        <v>46.151513899999998</v>
      </c>
      <c r="CB6" s="52"/>
      <c r="CC6" s="52"/>
      <c r="CD6" s="52"/>
      <c r="CE6" s="52"/>
      <c r="CF6" s="52"/>
      <c r="CG6" s="52"/>
      <c r="CH6" s="39" t="s">
        <v>35</v>
      </c>
      <c r="CI6" s="39" t="s">
        <v>47</v>
      </c>
      <c r="CJ6" s="39" t="s">
        <v>47</v>
      </c>
      <c r="CK6" s="48">
        <v>0.11361849900991729</v>
      </c>
      <c r="CL6" s="48">
        <v>7.7636768149933505E-2</v>
      </c>
      <c r="CM6" s="48">
        <v>0.64051942278622265</v>
      </c>
      <c r="CN6" s="48">
        <v>5.5243300522182775E-5</v>
      </c>
      <c r="CO6" s="48">
        <v>0.16528391120834562</v>
      </c>
      <c r="CP6" s="48">
        <v>0</v>
      </c>
      <c r="CQ6" s="48">
        <v>2.8861555450589208E-3</v>
      </c>
      <c r="CR6" s="39" t="s">
        <v>415</v>
      </c>
      <c r="CS6" s="48">
        <v>0.71815619093615612</v>
      </c>
      <c r="CT6" s="48">
        <v>0.16822531005392671</v>
      </c>
      <c r="CU6" s="39" t="s">
        <v>418</v>
      </c>
      <c r="CV6" s="40" t="s">
        <v>0</v>
      </c>
      <c r="CW6" s="40" t="s">
        <v>0</v>
      </c>
      <c r="CX6" s="40" t="s">
        <v>0</v>
      </c>
      <c r="CY6" s="40" t="s">
        <v>0</v>
      </c>
      <c r="CZ6" s="40" t="s">
        <v>0</v>
      </c>
      <c r="DA6" s="40" t="s">
        <v>0</v>
      </c>
      <c r="DB6" s="40" t="s">
        <v>0</v>
      </c>
      <c r="DC6" s="40" t="s">
        <v>449</v>
      </c>
      <c r="DD6" s="40" t="s">
        <v>0</v>
      </c>
      <c r="DE6" s="40" t="s">
        <v>0</v>
      </c>
      <c r="DF6" s="40" t="s">
        <v>0</v>
      </c>
      <c r="DG6" s="40" t="s">
        <v>449</v>
      </c>
      <c r="DH6" s="74">
        <v>2096.2399999999998</v>
      </c>
    </row>
    <row r="7" spans="1:112" x14ac:dyDescent="0.3">
      <c r="A7" s="73">
        <v>1</v>
      </c>
      <c r="B7" s="39" t="s">
        <v>444</v>
      </c>
      <c r="C7" s="39">
        <v>6</v>
      </c>
      <c r="D7" s="39" t="s">
        <v>48</v>
      </c>
      <c r="E7" s="44">
        <v>44236</v>
      </c>
      <c r="F7" s="43">
        <v>0.5805555555555556</v>
      </c>
      <c r="G7" s="39" t="s">
        <v>49</v>
      </c>
      <c r="H7" s="39" t="s">
        <v>34</v>
      </c>
      <c r="I7" s="39">
        <v>4.3</v>
      </c>
      <c r="J7" s="39">
        <v>8.0640000000000001</v>
      </c>
      <c r="K7" s="39">
        <v>82.5</v>
      </c>
      <c r="L7" s="39">
        <v>10.68</v>
      </c>
      <c r="M7" s="39">
        <v>0.746</v>
      </c>
      <c r="N7" s="39">
        <v>0.3</v>
      </c>
      <c r="O7" s="39" t="s">
        <v>341</v>
      </c>
      <c r="P7" s="39" t="s">
        <v>341</v>
      </c>
      <c r="Q7" s="39" t="s">
        <v>341</v>
      </c>
      <c r="R7" s="39">
        <f>(50+47.7+49.7)/3</f>
        <v>49.133333333333333</v>
      </c>
      <c r="S7" s="46">
        <f>(9.4+9.1+9.1)/3</f>
        <v>9.2000000000000011</v>
      </c>
      <c r="T7" s="46">
        <f>(0.29+0.21+0.31)/3</f>
        <v>0.27</v>
      </c>
      <c r="U7" s="47">
        <v>51.033887898573298</v>
      </c>
      <c r="V7" s="39">
        <v>4.1039823022648196</v>
      </c>
      <c r="W7" s="39">
        <v>2</v>
      </c>
      <c r="X7" s="39" t="s">
        <v>143</v>
      </c>
      <c r="Y7" s="39">
        <v>1</v>
      </c>
      <c r="Z7" s="40">
        <v>96.44</v>
      </c>
      <c r="AA7" s="48">
        <v>3.5828637409210211</v>
      </c>
      <c r="AB7" s="39">
        <v>17.2</v>
      </c>
      <c r="AC7" s="39">
        <v>18.600000000000001</v>
      </c>
      <c r="AD7" s="39">
        <v>35.700000000000003</v>
      </c>
      <c r="AE7" s="39">
        <v>8.8384</v>
      </c>
      <c r="AF7" s="39">
        <v>0.82589999999999997</v>
      </c>
      <c r="AG7" s="39">
        <v>0.11269999999999999</v>
      </c>
      <c r="AH7" s="39">
        <v>6.4889000000000001</v>
      </c>
      <c r="AI7" s="39">
        <v>0.2114</v>
      </c>
      <c r="AJ7" s="39">
        <v>7.0199999999999999E-2</v>
      </c>
      <c r="AK7" s="39">
        <v>41.808893093661304</v>
      </c>
      <c r="AL7" s="40" t="s">
        <v>373</v>
      </c>
      <c r="AM7" s="39" t="s">
        <v>432</v>
      </c>
      <c r="AN7" s="39">
        <v>1.25</v>
      </c>
      <c r="AO7" s="39">
        <v>2.2599999999999998</v>
      </c>
      <c r="AP7" s="39">
        <v>0</v>
      </c>
      <c r="AQ7" s="39">
        <v>0</v>
      </c>
      <c r="AR7" s="20">
        <v>459.9</v>
      </c>
      <c r="AS7" s="39">
        <v>3.0776265204087205</v>
      </c>
      <c r="AT7" s="39">
        <v>16.882939385335828</v>
      </c>
      <c r="AU7" s="39" t="s">
        <v>357</v>
      </c>
      <c r="AV7" s="39" t="s">
        <v>356</v>
      </c>
      <c r="AW7" s="48">
        <v>2079.9624447556967</v>
      </c>
      <c r="AX7" s="48">
        <v>2103.0815608508315</v>
      </c>
      <c r="AY7" s="48">
        <v>2.2368807311588297</v>
      </c>
      <c r="AZ7" s="48">
        <v>2.2617440191691607</v>
      </c>
      <c r="BA7" s="48">
        <v>685.67199305175234</v>
      </c>
      <c r="BB7" s="48">
        <v>693.29334720192662</v>
      </c>
      <c r="BC7" s="50">
        <v>80.125931840636667</v>
      </c>
      <c r="BD7" s="51">
        <v>0.19927939018373522</v>
      </c>
      <c r="BE7" s="51">
        <v>8.2520260678435306E-2</v>
      </c>
      <c r="BF7" s="48">
        <v>2.2368809999999999</v>
      </c>
      <c r="BG7" s="50">
        <v>80.125931840636667</v>
      </c>
      <c r="BH7" s="51">
        <v>0.19927939018373522</v>
      </c>
      <c r="BI7" s="51">
        <v>8.2520260678435306E-2</v>
      </c>
      <c r="BJ7" s="39" t="s">
        <v>367</v>
      </c>
      <c r="BK7" s="39" t="s">
        <v>313</v>
      </c>
      <c r="BL7" s="39" t="s">
        <v>368</v>
      </c>
      <c r="BM7" s="39" t="s">
        <v>369</v>
      </c>
      <c r="BN7" s="47">
        <v>10.693040410398423</v>
      </c>
      <c r="BO7" s="39">
        <v>6.1841281597890578</v>
      </c>
      <c r="BP7" s="39">
        <v>-3.5377072689502187</v>
      </c>
      <c r="BQ7" s="39">
        <v>19.645103050084018</v>
      </c>
      <c r="BR7" s="39">
        <v>44.96046449353863</v>
      </c>
      <c r="BS7" s="39">
        <v>-7.7869073179706696</v>
      </c>
      <c r="BT7" s="39">
        <v>12.196935196507692</v>
      </c>
      <c r="BU7" s="39">
        <v>45.164029277807288</v>
      </c>
      <c r="BV7" s="52">
        <v>-3.5377072690000002</v>
      </c>
      <c r="BW7" s="52">
        <v>19.645103049999999</v>
      </c>
      <c r="BX7" s="52">
        <v>44.96046449</v>
      </c>
      <c r="BY7" s="52">
        <v>-7.7869073179999999</v>
      </c>
      <c r="BZ7" s="52">
        <v>12.1969352</v>
      </c>
      <c r="CA7" s="52">
        <v>45.164029280000001</v>
      </c>
      <c r="CB7" s="52"/>
      <c r="CC7" s="52"/>
      <c r="CD7" s="52"/>
      <c r="CE7" s="52"/>
      <c r="CF7" s="52"/>
      <c r="CG7" s="52"/>
      <c r="CH7" s="39" t="s">
        <v>47</v>
      </c>
      <c r="CI7" s="39" t="s">
        <v>50</v>
      </c>
      <c r="CJ7" s="39" t="s">
        <v>50</v>
      </c>
      <c r="CK7" s="48">
        <v>0.40132122261249703</v>
      </c>
      <c r="CL7" s="48">
        <v>7.5356358413009505E-3</v>
      </c>
      <c r="CM7" s="48">
        <v>0.21674042870270574</v>
      </c>
      <c r="CN7" s="48">
        <v>2.2513874982652221E-3</v>
      </c>
      <c r="CO7" s="48">
        <v>0.36676682075774175</v>
      </c>
      <c r="CP7" s="48">
        <v>0</v>
      </c>
      <c r="CQ7" s="48">
        <v>5.3845045874893359E-3</v>
      </c>
      <c r="CR7" s="39" t="s">
        <v>420</v>
      </c>
      <c r="CS7" s="48">
        <v>0.2242760645440067</v>
      </c>
      <c r="CT7" s="48">
        <v>0.3744027128434963</v>
      </c>
      <c r="CU7" s="39" t="s">
        <v>420</v>
      </c>
      <c r="CV7" s="40" t="s">
        <v>449</v>
      </c>
      <c r="CW7" s="40" t="s">
        <v>449</v>
      </c>
      <c r="CX7" s="40" t="s">
        <v>0</v>
      </c>
      <c r="CY7" s="40" t="s">
        <v>449</v>
      </c>
      <c r="CZ7" s="40" t="s">
        <v>0</v>
      </c>
      <c r="DA7" s="40" t="s">
        <v>0</v>
      </c>
      <c r="DB7" s="40" t="s">
        <v>449</v>
      </c>
      <c r="DC7" s="40" t="s">
        <v>449</v>
      </c>
      <c r="DD7" s="40" t="s">
        <v>449</v>
      </c>
      <c r="DE7" s="40" t="s">
        <v>449</v>
      </c>
      <c r="DF7" s="40" t="s">
        <v>449</v>
      </c>
      <c r="DG7" s="40" t="s">
        <v>449</v>
      </c>
      <c r="DH7" s="74">
        <v>290.14999999999998</v>
      </c>
    </row>
    <row r="8" spans="1:112" x14ac:dyDescent="0.3">
      <c r="A8" s="73">
        <v>1</v>
      </c>
      <c r="B8" s="39" t="s">
        <v>444</v>
      </c>
      <c r="C8" s="39">
        <v>7</v>
      </c>
      <c r="D8" s="39" t="s">
        <v>51</v>
      </c>
      <c r="E8" s="44">
        <v>44236</v>
      </c>
      <c r="F8" s="43">
        <v>0.6430555555555556</v>
      </c>
      <c r="G8" s="39" t="s">
        <v>52</v>
      </c>
      <c r="H8" s="39" t="s">
        <v>34</v>
      </c>
      <c r="I8" s="39">
        <v>4.9000000000000004</v>
      </c>
      <c r="J8" s="39">
        <v>8.077</v>
      </c>
      <c r="K8" s="39">
        <v>84</v>
      </c>
      <c r="L8" s="39">
        <v>10.61</v>
      </c>
      <c r="M8" s="39">
        <v>0.69699999999999995</v>
      </c>
      <c r="N8" s="39">
        <v>0.3</v>
      </c>
      <c r="O8" s="39" t="s">
        <v>341</v>
      </c>
      <c r="P8" s="39" t="s">
        <v>341</v>
      </c>
      <c r="Q8" s="39" t="s">
        <v>341</v>
      </c>
      <c r="R8" s="39">
        <f>(86.2+85.6+85.5)/3</f>
        <v>85.766666666666666</v>
      </c>
      <c r="S8" s="46">
        <v>17.2</v>
      </c>
      <c r="T8" s="46">
        <v>0.35</v>
      </c>
      <c r="U8" s="47">
        <v>51.040182618579998</v>
      </c>
      <c r="V8" s="39">
        <v>4.1653909891563599</v>
      </c>
      <c r="W8" s="39">
        <v>3</v>
      </c>
      <c r="X8" s="39" t="s">
        <v>143</v>
      </c>
      <c r="Y8" s="39">
        <v>2</v>
      </c>
      <c r="Z8" s="40">
        <v>111.08</v>
      </c>
      <c r="AA8" s="48">
        <v>8.2507215881347591</v>
      </c>
      <c r="AB8" s="39">
        <v>15.5</v>
      </c>
      <c r="AC8" s="39">
        <v>23.6</v>
      </c>
      <c r="AD8" s="39">
        <v>39.1</v>
      </c>
      <c r="AE8" s="39">
        <v>8.8406000000000002</v>
      </c>
      <c r="AF8" s="39">
        <v>0.71040000000000003</v>
      </c>
      <c r="AG8" s="39">
        <v>0.10059999999999999</v>
      </c>
      <c r="AH8" s="39">
        <v>6.4843999999999999</v>
      </c>
      <c r="AI8" s="39">
        <v>0.2046</v>
      </c>
      <c r="AJ8" s="39">
        <v>7.5399999999999995E-2</v>
      </c>
      <c r="AK8" s="39">
        <v>43.209188660801566</v>
      </c>
      <c r="AL8" s="40" t="s">
        <v>373</v>
      </c>
      <c r="AM8" s="39" t="s">
        <v>433</v>
      </c>
      <c r="AN8" s="39">
        <v>0.75</v>
      </c>
      <c r="AO8" s="39">
        <v>3.08</v>
      </c>
      <c r="AP8" s="39">
        <v>0</v>
      </c>
      <c r="AQ8" s="39">
        <v>0</v>
      </c>
      <c r="AR8" s="20">
        <v>404.5</v>
      </c>
      <c r="AS8" s="39">
        <v>3.0218820142843992</v>
      </c>
      <c r="AT8" s="39">
        <v>16.912976818742155</v>
      </c>
      <c r="AU8" s="39" t="s">
        <v>357</v>
      </c>
      <c r="AV8" s="39" t="s">
        <v>356</v>
      </c>
      <c r="AW8" s="53">
        <v>2166.8090197972879</v>
      </c>
      <c r="AX8" s="53">
        <v>2199.6394594911858</v>
      </c>
      <c r="AY8" s="48">
        <v>2.415653570307164</v>
      </c>
      <c r="AZ8" s="48">
        <v>2.4522543819784834</v>
      </c>
      <c r="BA8" s="48">
        <v>712.71818635869511</v>
      </c>
      <c r="BB8" s="48">
        <v>723.51694675806925</v>
      </c>
      <c r="BC8" s="50">
        <v>161.94797442804349</v>
      </c>
      <c r="BD8" s="51">
        <v>0.24210563433146287</v>
      </c>
      <c r="BE8" s="51">
        <v>6.8347865078301359E-2</v>
      </c>
      <c r="BF8" s="48">
        <v>2.415654</v>
      </c>
      <c r="BG8" s="50">
        <v>161.94797442804349</v>
      </c>
      <c r="BH8" s="51">
        <v>0.24210563433146287</v>
      </c>
      <c r="BI8" s="51">
        <v>6.8347865078301359E-2</v>
      </c>
      <c r="BJ8" s="39" t="s">
        <v>42</v>
      </c>
      <c r="BK8" s="39" t="s">
        <v>318</v>
      </c>
      <c r="BL8" s="39" t="s">
        <v>366</v>
      </c>
      <c r="BM8" s="39"/>
      <c r="BN8" s="47">
        <v>10.479566753034904</v>
      </c>
      <c r="BO8" s="39">
        <v>5.88017739915938</v>
      </c>
      <c r="BP8" s="39">
        <v>-2.8822960418469736</v>
      </c>
      <c r="BQ8" s="39">
        <v>17.440842631139095</v>
      </c>
      <c r="BR8" s="39">
        <v>44.317091356746765</v>
      </c>
      <c r="BS8" s="39">
        <v>-9.6593014176469918</v>
      </c>
      <c r="BT8" s="39">
        <v>10.520556042272446</v>
      </c>
      <c r="BU8" s="39">
        <v>46.723941945113872</v>
      </c>
      <c r="BV8" s="52">
        <v>-2.8822960420000001</v>
      </c>
      <c r="BW8" s="52">
        <v>17.440842629999999</v>
      </c>
      <c r="BX8" s="52">
        <v>44.317091359999999</v>
      </c>
      <c r="BY8" s="52">
        <v>-9.6593014180000001</v>
      </c>
      <c r="BZ8" s="52">
        <v>10.520556040000001</v>
      </c>
      <c r="CA8" s="52">
        <v>46.723941949999997</v>
      </c>
      <c r="CB8" s="52"/>
      <c r="CC8" s="52"/>
      <c r="CD8" s="52"/>
      <c r="CE8" s="52"/>
      <c r="CF8" s="52"/>
      <c r="CG8" s="52"/>
      <c r="CH8" s="39" t="s">
        <v>42</v>
      </c>
      <c r="CI8" s="39" t="s">
        <v>116</v>
      </c>
      <c r="CJ8" s="39" t="s">
        <v>42</v>
      </c>
      <c r="CK8" s="48">
        <v>0.24725073144831336</v>
      </c>
      <c r="CL8" s="48">
        <v>0.13707040892892378</v>
      </c>
      <c r="CM8" s="48">
        <v>0.40508678747163157</v>
      </c>
      <c r="CN8" s="48">
        <v>7.3338409378762171E-3</v>
      </c>
      <c r="CO8" s="48">
        <v>0.16839088745374894</v>
      </c>
      <c r="CP8" s="48">
        <v>1.8804720353528761E-5</v>
      </c>
      <c r="CQ8" s="48">
        <v>3.4848539039152519E-2</v>
      </c>
      <c r="CR8" s="39" t="s">
        <v>415</v>
      </c>
      <c r="CS8" s="48">
        <v>0.54215719640055537</v>
      </c>
      <c r="CT8" s="48">
        <v>0.21059207215113124</v>
      </c>
      <c r="CU8" s="39" t="s">
        <v>418</v>
      </c>
      <c r="CV8" s="40" t="s">
        <v>0</v>
      </c>
      <c r="CW8" s="40" t="s">
        <v>0</v>
      </c>
      <c r="CX8" s="40" t="s">
        <v>449</v>
      </c>
      <c r="CY8" s="40" t="s">
        <v>449</v>
      </c>
      <c r="CZ8" s="40" t="s">
        <v>0</v>
      </c>
      <c r="DA8" s="40" t="s">
        <v>0</v>
      </c>
      <c r="DB8" s="40" t="s">
        <v>0</v>
      </c>
      <c r="DC8" s="40" t="s">
        <v>0</v>
      </c>
      <c r="DD8" s="40" t="s">
        <v>0</v>
      </c>
      <c r="DE8" s="40" t="s">
        <v>0</v>
      </c>
      <c r="DF8" s="40" t="s">
        <v>0</v>
      </c>
      <c r="DG8" s="40" t="s">
        <v>0</v>
      </c>
      <c r="DH8" s="74">
        <v>1666</v>
      </c>
    </row>
    <row r="9" spans="1:112" x14ac:dyDescent="0.3">
      <c r="A9" s="73">
        <v>1</v>
      </c>
      <c r="B9" s="39" t="s">
        <v>444</v>
      </c>
      <c r="C9" s="39">
        <v>8</v>
      </c>
      <c r="D9" s="39" t="s">
        <v>53</v>
      </c>
      <c r="E9" s="44">
        <v>44237</v>
      </c>
      <c r="F9" s="43">
        <v>0.42569444444444443</v>
      </c>
      <c r="G9" s="39" t="s">
        <v>54</v>
      </c>
      <c r="H9" s="39" t="s">
        <v>34</v>
      </c>
      <c r="I9" s="39">
        <v>3.7</v>
      </c>
      <c r="J9" s="39">
        <v>7.4279999999999999</v>
      </c>
      <c r="K9" s="39">
        <v>83.8</v>
      </c>
      <c r="L9" s="39">
        <v>11.1</v>
      </c>
      <c r="M9" s="39">
        <v>0.75900000000000001</v>
      </c>
      <c r="N9" s="39">
        <v>0.3</v>
      </c>
      <c r="O9" s="39" t="s">
        <v>341</v>
      </c>
      <c r="P9" s="39" t="s">
        <v>341</v>
      </c>
      <c r="Q9" s="39" t="s">
        <v>341</v>
      </c>
      <c r="R9" s="39">
        <v>62.5</v>
      </c>
      <c r="S9" s="46">
        <v>15.4</v>
      </c>
      <c r="T9" s="46">
        <f>(0.59+0.6+0.57)/3</f>
        <v>0.58666666666666656</v>
      </c>
      <c r="U9" s="47">
        <v>51.0556886858204</v>
      </c>
      <c r="V9" s="39">
        <v>4.2000242180373704</v>
      </c>
      <c r="W9" s="39">
        <v>1</v>
      </c>
      <c r="X9" s="39" t="s">
        <v>143</v>
      </c>
      <c r="Y9" s="39">
        <v>1</v>
      </c>
      <c r="Z9" s="40">
        <v>185.66</v>
      </c>
      <c r="AA9" s="48">
        <v>2.5618595314025798</v>
      </c>
      <c r="AB9" s="39">
        <v>15.5</v>
      </c>
      <c r="AC9" s="39">
        <v>24.3</v>
      </c>
      <c r="AD9" s="39">
        <v>39.799999999999997</v>
      </c>
      <c r="AE9" s="39">
        <v>8.5451999999999995</v>
      </c>
      <c r="AF9" s="39">
        <v>0.97670000000000001</v>
      </c>
      <c r="AG9" s="39">
        <v>0.1079</v>
      </c>
      <c r="AH9" s="39">
        <v>6.1708999999999996</v>
      </c>
      <c r="AI9" s="39">
        <v>0.19409999999999999</v>
      </c>
      <c r="AJ9" s="39">
        <v>6.1400000000000003E-2</v>
      </c>
      <c r="AK9" s="39">
        <v>44.024729520865534</v>
      </c>
      <c r="AL9" s="40" t="s">
        <v>372</v>
      </c>
      <c r="AM9" s="39" t="s">
        <v>433</v>
      </c>
      <c r="AN9" s="39">
        <v>-3.98</v>
      </c>
      <c r="AO9" s="39">
        <v>2.02</v>
      </c>
      <c r="AP9" s="39">
        <v>0</v>
      </c>
      <c r="AQ9" s="39">
        <v>0</v>
      </c>
      <c r="AR9" s="20">
        <v>123.4</v>
      </c>
      <c r="AS9" s="39">
        <v>3.3385484491690924</v>
      </c>
      <c r="AT9" s="39">
        <v>16.9553876955028</v>
      </c>
      <c r="AU9" s="39" t="s">
        <v>357</v>
      </c>
      <c r="AV9" s="39" t="s">
        <v>356</v>
      </c>
      <c r="AW9" s="48">
        <v>5064.1342348785665</v>
      </c>
      <c r="AX9" s="48">
        <v>5208.6248947733084</v>
      </c>
      <c r="AY9" s="48">
        <v>7.5686717596052002</v>
      </c>
      <c r="AZ9" s="48">
        <v>7.7846222708574491</v>
      </c>
      <c r="BA9" s="48">
        <v>2530.885743185609</v>
      </c>
      <c r="BB9" s="48">
        <v>2603.0973659803694</v>
      </c>
      <c r="BC9" s="50">
        <v>293.32642417687367</v>
      </c>
      <c r="BD9" s="51">
        <v>0.27955026139413025</v>
      </c>
      <c r="BE9" s="51">
        <v>0.16480521307077955</v>
      </c>
      <c r="BF9" s="48">
        <v>7.5686720000000003</v>
      </c>
      <c r="BG9" s="50">
        <v>293.32642417687367</v>
      </c>
      <c r="BH9" s="51">
        <v>0.27955026139413025</v>
      </c>
      <c r="BI9" s="51">
        <v>0.16480521307077955</v>
      </c>
      <c r="BJ9" s="39" t="s">
        <v>39</v>
      </c>
      <c r="BK9" s="39" t="s">
        <v>318</v>
      </c>
      <c r="BL9" s="39" t="s">
        <v>366</v>
      </c>
      <c r="BM9" s="39"/>
      <c r="BN9" s="47">
        <v>10.623787091910186</v>
      </c>
      <c r="BO9" s="39">
        <v>5.4461057437171991</v>
      </c>
      <c r="BP9" s="39">
        <v>-3.1379588891719985</v>
      </c>
      <c r="BQ9" s="39">
        <v>14.1851996564438</v>
      </c>
      <c r="BR9" s="39">
        <v>40.884038714216672</v>
      </c>
      <c r="BS9" s="39">
        <v>-5.5917187038402973</v>
      </c>
      <c r="BT9" s="39">
        <v>9.356360177382486</v>
      </c>
      <c r="BU9" s="39">
        <v>41.612346271069825</v>
      </c>
      <c r="BV9" s="52">
        <v>-3.1379588890000001</v>
      </c>
      <c r="BW9" s="52">
        <v>14.18519966</v>
      </c>
      <c r="BX9" s="52">
        <v>40.884038709999999</v>
      </c>
      <c r="BY9" s="52">
        <v>-5.5917187039999998</v>
      </c>
      <c r="BZ9" s="52">
        <v>9.3563601769999991</v>
      </c>
      <c r="CA9" s="52">
        <v>41.612346270000003</v>
      </c>
      <c r="CB9" s="52"/>
      <c r="CC9" s="52"/>
      <c r="CD9" s="52"/>
      <c r="CE9" s="52"/>
      <c r="CF9" s="52"/>
      <c r="CG9" s="52"/>
      <c r="CH9" s="39" t="s">
        <v>47</v>
      </c>
      <c r="CI9" s="39" t="s">
        <v>39</v>
      </c>
      <c r="CJ9" s="39" t="s">
        <v>39</v>
      </c>
      <c r="CK9" s="48">
        <v>0.28700621455157699</v>
      </c>
      <c r="CL9" s="48">
        <v>4.398881528417823E-2</v>
      </c>
      <c r="CM9" s="48">
        <v>0.236503290056718</v>
      </c>
      <c r="CN9" s="48">
        <v>2.4128467298830279E-3</v>
      </c>
      <c r="CO9" s="48">
        <v>0.42675854331600283</v>
      </c>
      <c r="CP9" s="48">
        <v>0</v>
      </c>
      <c r="CQ9" s="48">
        <v>3.3302900616408709E-3</v>
      </c>
      <c r="CR9" s="39" t="s">
        <v>416</v>
      </c>
      <c r="CS9" s="48">
        <v>0.28049210534089625</v>
      </c>
      <c r="CT9" s="48">
        <v>0.43250168010752671</v>
      </c>
      <c r="CU9" s="39" t="s">
        <v>42</v>
      </c>
      <c r="CV9" s="40" t="s">
        <v>449</v>
      </c>
      <c r="CW9" s="40" t="s">
        <v>449</v>
      </c>
      <c r="CX9" s="40" t="s">
        <v>449</v>
      </c>
      <c r="CY9" s="40" t="s">
        <v>449</v>
      </c>
      <c r="CZ9" s="40" t="s">
        <v>449</v>
      </c>
      <c r="DA9" s="40" t="s">
        <v>449</v>
      </c>
      <c r="DB9" s="40" t="s">
        <v>449</v>
      </c>
      <c r="DC9" s="40" t="s">
        <v>449</v>
      </c>
      <c r="DD9" s="40" t="s">
        <v>449</v>
      </c>
      <c r="DE9" s="40" t="s">
        <v>449</v>
      </c>
      <c r="DF9" s="40" t="s">
        <v>449</v>
      </c>
      <c r="DG9" s="40" t="s">
        <v>449</v>
      </c>
      <c r="DH9" s="74">
        <v>426</v>
      </c>
    </row>
    <row r="10" spans="1:112" x14ac:dyDescent="0.3">
      <c r="A10" s="73">
        <v>1</v>
      </c>
      <c r="B10" s="39" t="s">
        <v>444</v>
      </c>
      <c r="C10" s="39">
        <v>9</v>
      </c>
      <c r="D10" s="39" t="s">
        <v>55</v>
      </c>
      <c r="E10" s="44">
        <v>44237</v>
      </c>
      <c r="F10" s="43">
        <v>0.4826388888888889</v>
      </c>
      <c r="G10" s="39" t="s">
        <v>56</v>
      </c>
      <c r="H10" s="39" t="s">
        <v>34</v>
      </c>
      <c r="I10" s="39">
        <v>3.8</v>
      </c>
      <c r="J10" s="39">
        <v>7.3940000000000001</v>
      </c>
      <c r="K10" s="39">
        <v>90.9</v>
      </c>
      <c r="L10" s="39">
        <v>11.97</v>
      </c>
      <c r="M10" s="39">
        <v>0.74399999999999999</v>
      </c>
      <c r="N10" s="39">
        <v>0.3</v>
      </c>
      <c r="O10" s="39" t="s">
        <v>341</v>
      </c>
      <c r="P10" s="39" t="s">
        <v>341</v>
      </c>
      <c r="Q10" s="39" t="s">
        <v>341</v>
      </c>
      <c r="R10" s="39">
        <f>(84.8+84.9+85.1)/3</f>
        <v>84.933333333333323</v>
      </c>
      <c r="S10" s="46">
        <f>(13.5+14+14.1)/3</f>
        <v>13.866666666666667</v>
      </c>
      <c r="T10" s="46">
        <f>(0.79+0.72+0.8)/3</f>
        <v>0.77</v>
      </c>
      <c r="U10" s="47">
        <v>51.091848083364802</v>
      </c>
      <c r="V10" s="39">
        <v>4.1725923803729001</v>
      </c>
      <c r="W10" s="39">
        <v>1</v>
      </c>
      <c r="X10" s="39" t="s">
        <v>143</v>
      </c>
      <c r="Y10" s="39">
        <v>2</v>
      </c>
      <c r="Z10" s="40">
        <v>188.97</v>
      </c>
      <c r="AA10" s="48">
        <v>6.5795815849304198</v>
      </c>
      <c r="AB10" s="39">
        <v>15.7</v>
      </c>
      <c r="AC10" s="39">
        <v>18.399999999999999</v>
      </c>
      <c r="AD10" s="39">
        <v>34.1</v>
      </c>
      <c r="AE10" s="39">
        <v>8.3000299999999996</v>
      </c>
      <c r="AF10" s="39">
        <v>0.86250000000000004</v>
      </c>
      <c r="AG10" s="39">
        <v>9.64E-2</v>
      </c>
      <c r="AH10" s="39">
        <v>5.9739000000000004</v>
      </c>
      <c r="AI10" s="39">
        <v>0.18729999999999999</v>
      </c>
      <c r="AJ10" s="39">
        <v>8.4599999999999995E-2</v>
      </c>
      <c r="AK10" s="39">
        <v>44.314095034703683</v>
      </c>
      <c r="AL10" s="40" t="s">
        <v>372</v>
      </c>
      <c r="AM10" s="39" t="s">
        <v>432</v>
      </c>
      <c r="AN10" s="39">
        <v>-3.23</v>
      </c>
      <c r="AO10" s="39">
        <v>5.44</v>
      </c>
      <c r="AP10" s="39">
        <v>0</v>
      </c>
      <c r="AQ10" s="39">
        <v>0</v>
      </c>
      <c r="AR10" s="20">
        <v>263.7</v>
      </c>
      <c r="AS10" s="39">
        <v>2.8397825912845485</v>
      </c>
      <c r="AT10" s="39">
        <v>16.976438982890496</v>
      </c>
      <c r="AU10" s="39" t="s">
        <v>357</v>
      </c>
      <c r="AV10" s="39" t="s">
        <v>356</v>
      </c>
      <c r="AW10" s="48">
        <v>1370.7866303802891</v>
      </c>
      <c r="AX10" s="48">
        <v>1406.4884309566585</v>
      </c>
      <c r="AY10" s="48">
        <v>3.8274824256337454</v>
      </c>
      <c r="AZ10" s="48">
        <v>3.927168263853237</v>
      </c>
      <c r="BA10" s="48">
        <v>618.438115699592</v>
      </c>
      <c r="BB10" s="48">
        <v>634.54518428794472</v>
      </c>
      <c r="BC10" s="50">
        <v>222.53961386025219</v>
      </c>
      <c r="BD10" s="51">
        <v>0.22693901192974386</v>
      </c>
      <c r="BE10" s="51">
        <v>5.9876766479384794E-2</v>
      </c>
      <c r="BF10" s="48">
        <v>3.8274819999999998</v>
      </c>
      <c r="BG10" s="50">
        <v>222.53961386025219</v>
      </c>
      <c r="BH10" s="51">
        <v>0.22693901192974386</v>
      </c>
      <c r="BI10" s="51">
        <v>5.9876766479384794E-2</v>
      </c>
      <c r="BJ10" s="39" t="s">
        <v>42</v>
      </c>
      <c r="BK10" s="39" t="s">
        <v>319</v>
      </c>
      <c r="BL10" s="39" t="s">
        <v>366</v>
      </c>
      <c r="BM10" s="39"/>
      <c r="BN10" s="47">
        <v>10.445899553478663</v>
      </c>
      <c r="BO10" s="39">
        <v>5.319717023426259</v>
      </c>
      <c r="BP10" s="39">
        <v>-3.3507786784730511</v>
      </c>
      <c r="BQ10" s="39">
        <v>20.127625671495913</v>
      </c>
      <c r="BR10" s="39">
        <v>41.366164008119142</v>
      </c>
      <c r="BS10" s="39">
        <v>-15.832864265932216</v>
      </c>
      <c r="BT10" s="39">
        <v>9.2593198301663762</v>
      </c>
      <c r="BU10" s="39">
        <v>42.153654740777974</v>
      </c>
      <c r="BV10" s="52">
        <v>-3.3507786780000002</v>
      </c>
      <c r="BW10" s="52">
        <v>20.12762567</v>
      </c>
      <c r="BX10" s="52">
        <v>41.366164009999999</v>
      </c>
      <c r="BY10" s="52">
        <v>-15.83286427</v>
      </c>
      <c r="BZ10" s="52">
        <v>9.2593198300000008</v>
      </c>
      <c r="CA10" s="52">
        <v>42.15365474</v>
      </c>
      <c r="CB10" s="52"/>
      <c r="CC10" s="52"/>
      <c r="CD10" s="52"/>
      <c r="CE10" s="52"/>
      <c r="CF10" s="52"/>
      <c r="CG10" s="52"/>
      <c r="CH10" s="39" t="s">
        <v>36</v>
      </c>
      <c r="CI10" s="39" t="s">
        <v>47</v>
      </c>
      <c r="CJ10" s="39" t="s">
        <v>47</v>
      </c>
      <c r="CK10" s="48">
        <v>3.4861072782698198E-2</v>
      </c>
      <c r="CL10" s="48">
        <v>6.9391259885399542E-2</v>
      </c>
      <c r="CM10" s="48">
        <v>0.32665115871544359</v>
      </c>
      <c r="CN10" s="48">
        <v>1.1510168958750183E-2</v>
      </c>
      <c r="CO10" s="48">
        <v>0.54932666882620462</v>
      </c>
      <c r="CP10" s="48">
        <v>0</v>
      </c>
      <c r="CQ10" s="48">
        <v>8.2596708315039631E-3</v>
      </c>
      <c r="CR10" s="39" t="s">
        <v>416</v>
      </c>
      <c r="CS10" s="48">
        <v>0.3960424186008431</v>
      </c>
      <c r="CT10" s="48">
        <v>0.56909650861645877</v>
      </c>
      <c r="CU10" s="39" t="s">
        <v>42</v>
      </c>
      <c r="CV10" s="40" t="s">
        <v>449</v>
      </c>
      <c r="CW10" s="40" t="s">
        <v>449</v>
      </c>
      <c r="CX10" s="40" t="s">
        <v>0</v>
      </c>
      <c r="CY10" s="40" t="s">
        <v>0</v>
      </c>
      <c r="CZ10" s="40" t="s">
        <v>0</v>
      </c>
      <c r="DA10" s="40" t="s">
        <v>0</v>
      </c>
      <c r="DB10" s="40" t="s">
        <v>0</v>
      </c>
      <c r="DC10" s="40" t="s">
        <v>0</v>
      </c>
      <c r="DD10" s="40" t="s">
        <v>449</v>
      </c>
      <c r="DE10" s="40" t="s">
        <v>449</v>
      </c>
      <c r="DF10" s="40" t="s">
        <v>0</v>
      </c>
      <c r="DG10" s="40" t="s">
        <v>0</v>
      </c>
      <c r="DH10" s="74">
        <v>751</v>
      </c>
    </row>
    <row r="11" spans="1:112" x14ac:dyDescent="0.3">
      <c r="A11" s="73">
        <v>1</v>
      </c>
      <c r="B11" s="39" t="s">
        <v>444</v>
      </c>
      <c r="C11" s="39">
        <v>10</v>
      </c>
      <c r="D11" s="39" t="s">
        <v>57</v>
      </c>
      <c r="E11" s="44">
        <v>44237</v>
      </c>
      <c r="F11" s="43">
        <v>0.55486111111111114</v>
      </c>
      <c r="G11" s="39" t="s">
        <v>58</v>
      </c>
      <c r="H11" s="39" t="s">
        <v>34</v>
      </c>
      <c r="I11" s="39">
        <v>3.8</v>
      </c>
      <c r="J11" s="39">
        <v>7.57</v>
      </c>
      <c r="K11" s="39">
        <v>84.9</v>
      </c>
      <c r="L11" s="39">
        <v>11.22</v>
      </c>
      <c r="M11" s="39">
        <v>0.71699999999999997</v>
      </c>
      <c r="N11" s="39">
        <v>0.3</v>
      </c>
      <c r="O11" s="39" t="s">
        <v>341</v>
      </c>
      <c r="P11" s="39" t="s">
        <v>341</v>
      </c>
      <c r="Q11" s="39" t="s">
        <v>341</v>
      </c>
      <c r="R11" s="39">
        <f>(86.1+84.5+84.1)/3</f>
        <v>84.899999999999991</v>
      </c>
      <c r="S11" s="46">
        <f>(13.9+14.1+14.6)/3</f>
        <v>14.200000000000001</v>
      </c>
      <c r="T11" s="46">
        <f>(0.59+0.61+0.58)/3</f>
        <v>0.59333333333333327</v>
      </c>
      <c r="U11" s="47">
        <v>51.119042520973501</v>
      </c>
      <c r="V11" s="39">
        <v>4.2049383179445403</v>
      </c>
      <c r="W11" s="39">
        <v>1</v>
      </c>
      <c r="X11" s="39" t="s">
        <v>143</v>
      </c>
      <c r="Y11" s="39">
        <v>1</v>
      </c>
      <c r="Z11" s="40">
        <v>273.25</v>
      </c>
      <c r="AA11" s="48">
        <v>1.9999999737739571</v>
      </c>
      <c r="AB11" s="39">
        <v>15.3</v>
      </c>
      <c r="AC11" s="39">
        <v>16.600000000000001</v>
      </c>
      <c r="AD11" s="39">
        <v>31.9</v>
      </c>
      <c r="AE11" s="39">
        <v>8.0827000000000009</v>
      </c>
      <c r="AF11" s="39">
        <v>0.83819999999999995</v>
      </c>
      <c r="AG11" s="39">
        <v>0.1017</v>
      </c>
      <c r="AH11" s="39">
        <v>5.8463000000000003</v>
      </c>
      <c r="AI11" s="39">
        <v>0.18190000000000001</v>
      </c>
      <c r="AJ11" s="39">
        <v>5.7700000000000001E-2</v>
      </c>
      <c r="AK11" s="39">
        <v>44.434854315557999</v>
      </c>
      <c r="AL11" s="40" t="s">
        <v>373</v>
      </c>
      <c r="AM11" s="39" t="s">
        <v>432</v>
      </c>
      <c r="AN11" s="39">
        <v>-1.76</v>
      </c>
      <c r="AO11" s="39">
        <v>2.73</v>
      </c>
      <c r="AP11" s="39">
        <v>0</v>
      </c>
      <c r="AQ11" s="39">
        <v>0</v>
      </c>
      <c r="AR11" s="20">
        <v>280</v>
      </c>
      <c r="AS11" s="39">
        <v>2.9003013750572606</v>
      </c>
      <c r="AT11" s="39">
        <v>16.991228745471357</v>
      </c>
      <c r="AU11" s="39" t="s">
        <v>357</v>
      </c>
      <c r="AV11" s="39" t="s">
        <v>356</v>
      </c>
      <c r="AW11" s="53">
        <v>4935.4097413031122</v>
      </c>
      <c r="AX11" s="53">
        <v>5036.5220820733884</v>
      </c>
      <c r="AY11" s="48">
        <v>7.6947398383523478</v>
      </c>
      <c r="AZ11" s="48">
        <v>7.8523829110567194</v>
      </c>
      <c r="BA11" s="53">
        <v>2399.4518691760431</v>
      </c>
      <c r="BB11" s="53">
        <v>2448.6097320030403</v>
      </c>
      <c r="BC11" s="50">
        <v>113.15375746956029</v>
      </c>
      <c r="BD11" s="51">
        <v>0.20746348523544428</v>
      </c>
      <c r="BE11" s="51">
        <v>7.1422820986618507E-2</v>
      </c>
      <c r="BF11" s="48">
        <v>7.6947400000000004</v>
      </c>
      <c r="BG11" s="50">
        <v>113.15375746956029</v>
      </c>
      <c r="BH11" s="51">
        <v>0.20746348523544428</v>
      </c>
      <c r="BI11" s="51">
        <v>7.1422820986618507E-2</v>
      </c>
      <c r="BJ11" s="39" t="s">
        <v>39</v>
      </c>
      <c r="BK11" s="39" t="s">
        <v>313</v>
      </c>
      <c r="BL11" s="39" t="s">
        <v>368</v>
      </c>
      <c r="BM11" s="39" t="s">
        <v>369</v>
      </c>
      <c r="BN11" s="47">
        <v>10.658338012013845</v>
      </c>
      <c r="BO11" s="39">
        <v>4.4915661687937432</v>
      </c>
      <c r="BP11" s="39"/>
      <c r="BQ11" s="39"/>
      <c r="BR11" s="39"/>
      <c r="BS11" s="39">
        <v>-5.0124966717800756</v>
      </c>
      <c r="BT11" s="39">
        <v>13.007658964320678</v>
      </c>
      <c r="BU11" s="39">
        <v>43.395114863948642</v>
      </c>
      <c r="BV11" s="52"/>
      <c r="BW11" s="52"/>
      <c r="BX11" s="52"/>
      <c r="BY11" s="52">
        <v>-5.0124966720000002</v>
      </c>
      <c r="BZ11" s="52">
        <v>13.007658960000001</v>
      </c>
      <c r="CA11" s="52">
        <v>43.39511486</v>
      </c>
      <c r="CB11" s="52"/>
      <c r="CC11" s="52"/>
      <c r="CD11" s="52"/>
      <c r="CE11" s="52"/>
      <c r="CF11" s="52"/>
      <c r="CG11" s="52"/>
      <c r="CH11" s="39" t="s">
        <v>39</v>
      </c>
      <c r="CI11" s="39" t="s">
        <v>47</v>
      </c>
      <c r="CJ11" s="39" t="s">
        <v>39</v>
      </c>
      <c r="CK11" s="48">
        <v>0.38764270265031059</v>
      </c>
      <c r="CL11" s="48">
        <v>8.9342075033119438E-3</v>
      </c>
      <c r="CM11" s="48">
        <v>0.16873335049930535</v>
      </c>
      <c r="CN11" s="48">
        <v>1.3548592268402503E-2</v>
      </c>
      <c r="CO11" s="48">
        <v>0.4056605002830026</v>
      </c>
      <c r="CP11" s="48">
        <v>0</v>
      </c>
      <c r="CQ11" s="48">
        <v>1.5480646795667047E-2</v>
      </c>
      <c r="CR11" s="39" t="s">
        <v>416</v>
      </c>
      <c r="CS11" s="48">
        <v>0.1776675580026173</v>
      </c>
      <c r="CT11" s="48">
        <v>0.43468973934707211</v>
      </c>
      <c r="CU11" s="39" t="s">
        <v>42</v>
      </c>
      <c r="CV11" s="40" t="s">
        <v>0</v>
      </c>
      <c r="CW11" s="40" t="s">
        <v>449</v>
      </c>
      <c r="CX11" s="40" t="s">
        <v>0</v>
      </c>
      <c r="CY11" s="40" t="s">
        <v>449</v>
      </c>
      <c r="CZ11" s="40" t="s">
        <v>449</v>
      </c>
      <c r="DA11" s="40" t="s">
        <v>449</v>
      </c>
      <c r="DB11" s="40" t="s">
        <v>449</v>
      </c>
      <c r="DC11" s="40" t="s">
        <v>449</v>
      </c>
      <c r="DD11" s="40" t="s">
        <v>449</v>
      </c>
      <c r="DE11" s="40" t="s">
        <v>449</v>
      </c>
      <c r="DF11" s="40" t="s">
        <v>449</v>
      </c>
      <c r="DG11" s="40" t="s">
        <v>449</v>
      </c>
      <c r="DH11" s="74">
        <v>828</v>
      </c>
    </row>
    <row r="12" spans="1:112" x14ac:dyDescent="0.3">
      <c r="A12" s="73">
        <v>1</v>
      </c>
      <c r="B12" s="39" t="s">
        <v>444</v>
      </c>
      <c r="C12" s="39">
        <v>11</v>
      </c>
      <c r="D12" s="39" t="s">
        <v>59</v>
      </c>
      <c r="E12" s="44">
        <v>44237</v>
      </c>
      <c r="F12" s="43">
        <v>0.60763888888888895</v>
      </c>
      <c r="G12" s="39" t="s">
        <v>60</v>
      </c>
      <c r="H12" s="39" t="s">
        <v>34</v>
      </c>
      <c r="I12" s="39">
        <v>3.9</v>
      </c>
      <c r="J12" s="39">
        <v>7.36</v>
      </c>
      <c r="K12" s="39">
        <v>81.5</v>
      </c>
      <c r="L12" s="39">
        <v>10.7</v>
      </c>
      <c r="M12" s="39">
        <v>0.65900000000000003</v>
      </c>
      <c r="N12" s="39">
        <v>0.2</v>
      </c>
      <c r="O12" s="39" t="s">
        <v>341</v>
      </c>
      <c r="P12" s="39" t="s">
        <v>341</v>
      </c>
      <c r="Q12" s="39" t="s">
        <v>341</v>
      </c>
      <c r="R12" s="39">
        <f>(78.7+79.8+80)/3</f>
        <v>79.5</v>
      </c>
      <c r="S12" s="46">
        <f>(9.6+9.1+9)/3</f>
        <v>9.2333333333333325</v>
      </c>
      <c r="T12" s="46">
        <f>(0.85+0.79+0.82)/3</f>
        <v>0.82</v>
      </c>
      <c r="U12" s="47">
        <v>51.123835434132303</v>
      </c>
      <c r="V12" s="39">
        <v>4.2750023768935801</v>
      </c>
      <c r="W12" s="39">
        <v>1</v>
      </c>
      <c r="X12" s="39" t="s">
        <v>143</v>
      </c>
      <c r="Y12" s="39">
        <v>1</v>
      </c>
      <c r="Z12" s="40">
        <v>335.88</v>
      </c>
      <c r="AA12" s="48">
        <v>10.32406925201416</v>
      </c>
      <c r="AB12" s="39">
        <v>16</v>
      </c>
      <c r="AC12" s="39">
        <v>16.8</v>
      </c>
      <c r="AD12" s="39">
        <v>32.799999999999997</v>
      </c>
      <c r="AE12" s="39">
        <v>7.81623</v>
      </c>
      <c r="AF12" s="39">
        <v>0.79469999999999996</v>
      </c>
      <c r="AG12" s="39">
        <v>9.2100000000000001E-2</v>
      </c>
      <c r="AH12" s="39">
        <v>5.1943999999999999</v>
      </c>
      <c r="AI12" s="39">
        <v>0.12959999999999999</v>
      </c>
      <c r="AJ12" s="39">
        <v>5.6000000000000001E-2</v>
      </c>
      <c r="AK12" s="39">
        <v>60.310416666666669</v>
      </c>
      <c r="AL12" s="40" t="s">
        <v>373</v>
      </c>
      <c r="AM12" s="39" t="s">
        <v>432</v>
      </c>
      <c r="AN12" s="39">
        <v>-1.01</v>
      </c>
      <c r="AO12" s="39">
        <v>1.69</v>
      </c>
      <c r="AP12" s="39">
        <v>0</v>
      </c>
      <c r="AQ12" s="39">
        <v>0</v>
      </c>
      <c r="AR12" s="20">
        <v>290.10000000000002</v>
      </c>
      <c r="AS12" s="39">
        <v>2.9734523648401421</v>
      </c>
      <c r="AT12" s="39">
        <v>17.080029940224783</v>
      </c>
      <c r="AU12" s="39" t="s">
        <v>357</v>
      </c>
      <c r="AV12" s="39" t="s">
        <v>356</v>
      </c>
      <c r="AW12" s="48">
        <v>4782.998267015133</v>
      </c>
      <c r="AX12" s="48">
        <v>4869.2940026329916</v>
      </c>
      <c r="AY12" s="48">
        <v>5.0452697408381182</v>
      </c>
      <c r="AZ12" s="48">
        <v>5.1362974266892092</v>
      </c>
      <c r="BA12" s="48">
        <v>2121.6836473209119</v>
      </c>
      <c r="BB12" s="48">
        <v>2159.9634544361675</v>
      </c>
      <c r="BC12" s="50">
        <v>284.09099157874243</v>
      </c>
      <c r="BD12" s="51">
        <v>0.24573828689536825</v>
      </c>
      <c r="BE12" s="51">
        <v>4.7614629109298763E-2</v>
      </c>
      <c r="BF12" s="48">
        <v>5.0452700000000004</v>
      </c>
      <c r="BG12" s="50">
        <v>284.09099157874243</v>
      </c>
      <c r="BH12" s="51">
        <v>0.24573828689536825</v>
      </c>
      <c r="BI12" s="51">
        <v>4.7614629109298763E-2</v>
      </c>
      <c r="BJ12" s="39" t="s">
        <v>39</v>
      </c>
      <c r="BK12" s="39" t="s">
        <v>319</v>
      </c>
      <c r="BL12" s="39" t="s">
        <v>366</v>
      </c>
      <c r="BM12" s="39"/>
      <c r="BN12" s="47">
        <v>10.718774497644578</v>
      </c>
      <c r="BO12" s="39">
        <v>5.2513825289623277</v>
      </c>
      <c r="BP12" s="39">
        <v>-3.8364544566087333</v>
      </c>
      <c r="BQ12" s="39">
        <v>22.460671215725558</v>
      </c>
      <c r="BR12" s="39">
        <v>43.596095241192486</v>
      </c>
      <c r="BS12" s="39">
        <v>-7.8582619511630663</v>
      </c>
      <c r="BT12" s="39">
        <v>13.306818331168886</v>
      </c>
      <c r="BU12" s="39">
        <v>45.452339510691857</v>
      </c>
      <c r="BV12" s="52">
        <v>-3.8364544569999999</v>
      </c>
      <c r="BW12" s="52">
        <v>22.460671219999998</v>
      </c>
      <c r="BX12" s="52">
        <v>43.596095239999997</v>
      </c>
      <c r="BY12" s="52">
        <v>-7.8582619510000002</v>
      </c>
      <c r="BZ12" s="52">
        <v>13.30681833</v>
      </c>
      <c r="CA12" s="52">
        <v>45.452339510000002</v>
      </c>
      <c r="CB12" s="52"/>
      <c r="CC12" s="52"/>
      <c r="CD12" s="52"/>
      <c r="CE12" s="52"/>
      <c r="CF12" s="52"/>
      <c r="CG12" s="52"/>
      <c r="CH12" s="39" t="s">
        <v>36</v>
      </c>
      <c r="CI12" s="39" t="s">
        <v>47</v>
      </c>
      <c r="CJ12" s="39" t="s">
        <v>36</v>
      </c>
      <c r="CK12" s="48">
        <v>0.17569351176437448</v>
      </c>
      <c r="CL12" s="48">
        <v>3.460784205342203E-2</v>
      </c>
      <c r="CM12" s="48">
        <v>0.17939544086058626</v>
      </c>
      <c r="CN12" s="48">
        <v>2.7159134326692123E-2</v>
      </c>
      <c r="CO12" s="48">
        <v>0.57370742338886116</v>
      </c>
      <c r="CP12" s="48">
        <v>0</v>
      </c>
      <c r="CQ12" s="48">
        <v>9.436647606063971E-3</v>
      </c>
      <c r="CR12" s="39" t="s">
        <v>416</v>
      </c>
      <c r="CS12" s="48">
        <v>0.21400328291400827</v>
      </c>
      <c r="CT12" s="48">
        <v>0.6103032053216173</v>
      </c>
      <c r="CU12" s="39" t="s">
        <v>42</v>
      </c>
      <c r="CV12" s="40" t="s">
        <v>449</v>
      </c>
      <c r="CW12" s="40" t="s">
        <v>449</v>
      </c>
      <c r="CX12" s="40" t="s">
        <v>449</v>
      </c>
      <c r="CY12" s="40" t="s">
        <v>0</v>
      </c>
      <c r="CZ12" s="40" t="s">
        <v>0</v>
      </c>
      <c r="DA12" s="40" t="s">
        <v>449</v>
      </c>
      <c r="DB12" s="40" t="s">
        <v>449</v>
      </c>
      <c r="DC12" s="40" t="s">
        <v>0</v>
      </c>
      <c r="DD12" s="40" t="s">
        <v>449</v>
      </c>
      <c r="DE12" s="40" t="s">
        <v>449</v>
      </c>
      <c r="DF12" s="40" t="s">
        <v>449</v>
      </c>
      <c r="DG12" s="40" t="s">
        <v>0</v>
      </c>
      <c r="DH12" s="74">
        <v>190.43</v>
      </c>
    </row>
    <row r="13" spans="1:112" x14ac:dyDescent="0.3">
      <c r="A13" s="73">
        <v>1</v>
      </c>
      <c r="B13" s="39" t="s">
        <v>444</v>
      </c>
      <c r="C13" s="39">
        <v>12</v>
      </c>
      <c r="D13" s="39" t="s">
        <v>61</v>
      </c>
      <c r="E13" s="44">
        <v>44237</v>
      </c>
      <c r="F13" s="43">
        <v>0.66180555555555554</v>
      </c>
      <c r="G13" s="39" t="s">
        <v>62</v>
      </c>
      <c r="H13" s="39" t="s">
        <v>34</v>
      </c>
      <c r="I13" s="39">
        <v>4.5</v>
      </c>
      <c r="J13" s="39">
        <v>8.0220000000000002</v>
      </c>
      <c r="K13" s="39">
        <v>82.7</v>
      </c>
      <c r="L13" s="39">
        <v>10.76</v>
      </c>
      <c r="M13" s="39">
        <v>0.91100000000000003</v>
      </c>
      <c r="N13" s="39">
        <v>0.4</v>
      </c>
      <c r="O13" s="39" t="s">
        <v>341</v>
      </c>
      <c r="P13" s="39" t="s">
        <v>341</v>
      </c>
      <c r="Q13" s="39" t="s">
        <v>341</v>
      </c>
      <c r="R13" s="39">
        <f>(64.1+63.8+67.1)/3</f>
        <v>65</v>
      </c>
      <c r="S13" s="46">
        <f>(15.4+15.9+16.5)/3</f>
        <v>15.933333333333332</v>
      </c>
      <c r="T13" s="46">
        <f>(0.42+0.39+0.38)/3</f>
        <v>0.39666666666666667</v>
      </c>
      <c r="U13" s="47">
        <v>51.142229999999998</v>
      </c>
      <c r="V13" s="39">
        <v>4.3264480000000001</v>
      </c>
      <c r="W13" s="39">
        <v>1</v>
      </c>
      <c r="X13" s="39" t="s">
        <v>143</v>
      </c>
      <c r="Y13" s="39">
        <v>2</v>
      </c>
      <c r="Z13" s="40">
        <v>318.52</v>
      </c>
      <c r="AA13" s="48">
        <v>8.92</v>
      </c>
      <c r="AB13" s="39">
        <v>15.5</v>
      </c>
      <c r="AC13" s="39">
        <v>13.3</v>
      </c>
      <c r="AD13" s="39">
        <v>28.7</v>
      </c>
      <c r="AE13" s="39">
        <v>7.3249000000000004</v>
      </c>
      <c r="AF13" s="39">
        <v>0.97189999999999999</v>
      </c>
      <c r="AG13" s="39">
        <v>9.74E-2</v>
      </c>
      <c r="AH13" s="39">
        <v>4.9585999999999997</v>
      </c>
      <c r="AI13" s="39">
        <v>0.1137</v>
      </c>
      <c r="AJ13" s="39">
        <v>7.9500000000000001E-2</v>
      </c>
      <c r="AK13" s="39">
        <v>64.423043095866319</v>
      </c>
      <c r="AL13" s="40" t="s">
        <v>373</v>
      </c>
      <c r="AM13" s="39" t="s">
        <v>433</v>
      </c>
      <c r="AN13" s="39">
        <v>-0.35</v>
      </c>
      <c r="AO13" s="39">
        <v>1.83</v>
      </c>
      <c r="AP13" s="39">
        <v>0</v>
      </c>
      <c r="AQ13" s="39">
        <v>0</v>
      </c>
      <c r="AR13" s="20">
        <v>230.3</v>
      </c>
      <c r="AS13" s="39">
        <v>2.9929690065628463</v>
      </c>
      <c r="AT13" s="39">
        <v>17.094533241423054</v>
      </c>
      <c r="AU13" s="39" t="s">
        <v>357</v>
      </c>
      <c r="AV13" s="39" t="s">
        <v>356</v>
      </c>
      <c r="AW13" s="48">
        <v>1061.7407316883236</v>
      </c>
      <c r="AX13" s="48">
        <v>1080.616987365333</v>
      </c>
      <c r="AY13" s="48">
        <v>1.1959907610862675</v>
      </c>
      <c r="AZ13" s="48">
        <v>1.2172537933123249</v>
      </c>
      <c r="BA13" s="48">
        <v>483.34149264203256</v>
      </c>
      <c r="BB13" s="48">
        <v>491.93462401781659</v>
      </c>
      <c r="BC13" s="50">
        <v>162.5686712603264</v>
      </c>
      <c r="BD13" s="51">
        <v>0.26204444853450881</v>
      </c>
      <c r="BE13" s="51">
        <v>6.2419553568451386E-2</v>
      </c>
      <c r="BF13" s="48">
        <v>1.195991</v>
      </c>
      <c r="BG13" s="50">
        <v>162.5686712603264</v>
      </c>
      <c r="BH13" s="51">
        <v>0.26204444853450881</v>
      </c>
      <c r="BI13" s="51">
        <v>6.2419553568451386E-2</v>
      </c>
      <c r="BJ13" s="39" t="s">
        <v>42</v>
      </c>
      <c r="BK13" s="39" t="s">
        <v>318</v>
      </c>
      <c r="BL13" s="39" t="s">
        <v>366</v>
      </c>
      <c r="BM13" s="39"/>
      <c r="BN13" s="47">
        <v>10.535349307343157</v>
      </c>
      <c r="BO13" s="39">
        <v>5.7570513947200386</v>
      </c>
      <c r="BP13" s="39">
        <v>-4.2503814463479772</v>
      </c>
      <c r="BQ13" s="39">
        <v>23.112790595011216</v>
      </c>
      <c r="BR13" s="39">
        <v>43.387510599820203</v>
      </c>
      <c r="BS13" s="39">
        <v>-16.645864302331123</v>
      </c>
      <c r="BT13" s="39">
        <v>14.925293693473151</v>
      </c>
      <c r="BU13" s="39">
        <v>45.566034796092282</v>
      </c>
      <c r="BV13" s="52">
        <v>-4.2503814459999996</v>
      </c>
      <c r="BW13" s="52">
        <v>23.1127906</v>
      </c>
      <c r="BX13" s="52">
        <v>43.387510599999999</v>
      </c>
      <c r="BY13" s="52">
        <v>-16.6458643</v>
      </c>
      <c r="BZ13" s="52">
        <v>14.92529369</v>
      </c>
      <c r="CA13" s="52">
        <v>45.566034799999997</v>
      </c>
      <c r="CB13" s="52"/>
      <c r="CC13" s="52"/>
      <c r="CD13" s="52"/>
      <c r="CE13" s="52"/>
      <c r="CF13" s="52"/>
      <c r="CG13" s="52"/>
      <c r="CH13" s="39" t="s">
        <v>42</v>
      </c>
      <c r="CI13" s="39" t="s">
        <v>36</v>
      </c>
      <c r="CJ13" s="39" t="s">
        <v>42</v>
      </c>
      <c r="CK13" s="48">
        <v>0.20205738924634145</v>
      </c>
      <c r="CL13" s="48">
        <v>7.3421950802206046E-3</v>
      </c>
      <c r="CM13" s="48">
        <v>0.49645743709854756</v>
      </c>
      <c r="CN13" s="48">
        <v>4.961999417866314E-2</v>
      </c>
      <c r="CO13" s="48">
        <v>0.21391870373690292</v>
      </c>
      <c r="CP13" s="48">
        <v>4.3455529145197395E-5</v>
      </c>
      <c r="CQ13" s="48">
        <v>3.0560825130179083E-2</v>
      </c>
      <c r="CR13" s="39" t="s">
        <v>415</v>
      </c>
      <c r="CS13" s="48">
        <v>0.50379963217876822</v>
      </c>
      <c r="CT13" s="48">
        <v>0.29414297857489036</v>
      </c>
      <c r="CU13" s="39" t="s">
        <v>418</v>
      </c>
      <c r="CV13" s="40" t="s">
        <v>450</v>
      </c>
      <c r="CW13" s="40" t="s">
        <v>449</v>
      </c>
      <c r="CX13" s="40" t="s">
        <v>449</v>
      </c>
      <c r="CY13" s="40" t="s">
        <v>0</v>
      </c>
      <c r="CZ13" s="40" t="s">
        <v>449</v>
      </c>
      <c r="DA13" s="40" t="s">
        <v>449</v>
      </c>
      <c r="DB13" s="40" t="s">
        <v>449</v>
      </c>
      <c r="DC13" s="40" t="s">
        <v>0</v>
      </c>
      <c r="DD13" s="40" t="s">
        <v>449</v>
      </c>
      <c r="DE13" s="40" t="s">
        <v>449</v>
      </c>
      <c r="DF13" s="40" t="s">
        <v>0</v>
      </c>
      <c r="DG13" s="40" t="s">
        <v>0</v>
      </c>
      <c r="DH13" s="74">
        <v>284</v>
      </c>
    </row>
    <row r="14" spans="1:112" x14ac:dyDescent="0.3">
      <c r="A14" s="73">
        <v>1</v>
      </c>
      <c r="B14" s="39" t="s">
        <v>444</v>
      </c>
      <c r="C14" s="39">
        <v>13</v>
      </c>
      <c r="D14" s="39" t="s">
        <v>63</v>
      </c>
      <c r="E14" s="44">
        <v>44238</v>
      </c>
      <c r="F14" s="43">
        <v>0.43541666666666662</v>
      </c>
      <c r="G14" s="39" t="s">
        <v>64</v>
      </c>
      <c r="H14" s="39" t="s">
        <v>34</v>
      </c>
      <c r="I14" s="39">
        <v>2.7</v>
      </c>
      <c r="J14" s="39">
        <v>8.0350000000000001</v>
      </c>
      <c r="K14" s="39">
        <v>82.5</v>
      </c>
      <c r="L14" s="39">
        <v>11.32</v>
      </c>
      <c r="M14" s="39">
        <v>0.69799999999999995</v>
      </c>
      <c r="N14" s="39">
        <v>0.3</v>
      </c>
      <c r="O14" s="39" t="s">
        <v>341</v>
      </c>
      <c r="P14" s="39" t="s">
        <v>341</v>
      </c>
      <c r="Q14" s="39" t="s">
        <v>341</v>
      </c>
      <c r="R14" s="39">
        <f>(83.4+85.3+85.8)/3</f>
        <v>84.833333333333329</v>
      </c>
      <c r="S14" s="46">
        <f>(15.7+16.1+14.9)/3</f>
        <v>15.566666666666668</v>
      </c>
      <c r="T14" s="46">
        <v>0.57999999999999996</v>
      </c>
      <c r="U14" s="47">
        <v>51.175387999999998</v>
      </c>
      <c r="V14" s="39">
        <v>4.3304999999999998</v>
      </c>
      <c r="W14" s="39">
        <v>1</v>
      </c>
      <c r="X14" s="39" t="s">
        <v>143</v>
      </c>
      <c r="Y14" s="39">
        <v>2</v>
      </c>
      <c r="Z14" s="40">
        <v>422.74</v>
      </c>
      <c r="AA14" s="48">
        <v>2.78</v>
      </c>
      <c r="AB14" s="39">
        <v>16.3</v>
      </c>
      <c r="AC14" s="39">
        <v>14.7</v>
      </c>
      <c r="AD14" s="39">
        <v>31</v>
      </c>
      <c r="AE14" s="39">
        <v>6.2850999999999999</v>
      </c>
      <c r="AF14" s="39">
        <v>0.26140000000000002</v>
      </c>
      <c r="AG14" s="39">
        <f>0.175*0.37</f>
        <v>6.4750000000000002E-2</v>
      </c>
      <c r="AH14" s="39">
        <v>5.8296000000000001</v>
      </c>
      <c r="AI14" s="39">
        <v>0.14810000000000001</v>
      </c>
      <c r="AJ14" s="39">
        <v>5.4199999999999998E-2</v>
      </c>
      <c r="AK14" s="39">
        <v>42.438217420661715</v>
      </c>
      <c r="AL14" s="40" t="s">
        <v>372</v>
      </c>
      <c r="AM14" s="39" t="s">
        <v>447</v>
      </c>
      <c r="AN14" s="39">
        <v>-1.29</v>
      </c>
      <c r="AO14" s="39">
        <v>2.25</v>
      </c>
      <c r="AP14" s="39">
        <v>0</v>
      </c>
      <c r="AQ14" s="39">
        <v>0</v>
      </c>
      <c r="AR14" s="20">
        <v>127</v>
      </c>
      <c r="AS14" s="39">
        <v>2.1866561975568981</v>
      </c>
      <c r="AT14" s="39">
        <v>17.055352843233717</v>
      </c>
      <c r="AU14" s="39" t="s">
        <v>357</v>
      </c>
      <c r="AV14" s="39" t="s">
        <v>356</v>
      </c>
      <c r="AW14" s="48">
        <v>5368.2744698703018</v>
      </c>
      <c r="AX14" s="48">
        <v>5447.0628724848193</v>
      </c>
      <c r="AY14" s="48">
        <v>5.1333154034197523</v>
      </c>
      <c r="AZ14" s="48">
        <v>5.2086553889256928</v>
      </c>
      <c r="BA14" s="48">
        <v>2828.5590545790596</v>
      </c>
      <c r="BB14" s="48">
        <v>2870.0728875363552</v>
      </c>
      <c r="BC14" s="50">
        <v>281.36810676258904</v>
      </c>
      <c r="BD14" s="51">
        <v>0.2315581502275707</v>
      </c>
      <c r="BE14" s="51">
        <v>7.9509743455635357E-2</v>
      </c>
      <c r="BF14" s="48">
        <v>5.1333149999999996</v>
      </c>
      <c r="BG14" s="50">
        <v>281.36810676258904</v>
      </c>
      <c r="BH14" s="51">
        <v>0.2315581502275707</v>
      </c>
      <c r="BI14" s="51">
        <v>7.9509743455635357E-2</v>
      </c>
      <c r="BJ14" s="39" t="s">
        <v>116</v>
      </c>
      <c r="BK14" s="39" t="s">
        <v>318</v>
      </c>
      <c r="BL14" s="39" t="s">
        <v>366</v>
      </c>
      <c r="BM14" s="39"/>
      <c r="BN14" s="47">
        <v>10.613950356230076</v>
      </c>
      <c r="BO14" s="39">
        <v>5.6792161719286325</v>
      </c>
      <c r="BP14" s="39">
        <v>-5.8744929432830215</v>
      </c>
      <c r="BQ14" s="39">
        <v>16.229891622090136</v>
      </c>
      <c r="BR14" s="39">
        <v>42.251770542911345</v>
      </c>
      <c r="BS14" s="39">
        <v>-7.2581811391037094</v>
      </c>
      <c r="BT14" s="39">
        <v>13.323444814980661</v>
      </c>
      <c r="BU14" s="39">
        <v>43.917049954014281</v>
      </c>
      <c r="BV14" s="52">
        <v>-5.8744929429999999</v>
      </c>
      <c r="BW14" s="52">
        <v>16.22989162</v>
      </c>
      <c r="BX14" s="52">
        <v>42.251770540000003</v>
      </c>
      <c r="BY14" s="52">
        <v>-7.2581811390000004</v>
      </c>
      <c r="BZ14" s="52">
        <v>13.32344481</v>
      </c>
      <c r="CA14" s="52">
        <v>43.917049949999999</v>
      </c>
      <c r="CB14" s="52"/>
      <c r="CC14" s="52"/>
      <c r="CD14" s="52"/>
      <c r="CE14" s="52"/>
      <c r="CF14" s="52"/>
      <c r="CG14" s="52"/>
      <c r="CH14" s="39" t="s">
        <v>42</v>
      </c>
      <c r="CI14" s="39" t="s">
        <v>116</v>
      </c>
      <c r="CJ14" s="39" t="s">
        <v>116</v>
      </c>
      <c r="CK14" s="48">
        <v>0.49795308613107964</v>
      </c>
      <c r="CL14" s="48">
        <v>3.3380657913228773E-3</v>
      </c>
      <c r="CM14" s="48">
        <v>0.25222319738212445</v>
      </c>
      <c r="CN14" s="48">
        <v>4.2793039639671938E-2</v>
      </c>
      <c r="CO14" s="48">
        <v>0.19199053595907137</v>
      </c>
      <c r="CP14" s="48">
        <v>0</v>
      </c>
      <c r="CQ14" s="48">
        <v>1.1702075096729776E-2</v>
      </c>
      <c r="CR14" s="39" t="s">
        <v>420</v>
      </c>
      <c r="CS14" s="48">
        <v>0.25556126317344735</v>
      </c>
      <c r="CT14" s="48">
        <v>0.24648565069547307</v>
      </c>
      <c r="CU14" s="39" t="s">
        <v>420</v>
      </c>
      <c r="CV14" s="40" t="s">
        <v>450</v>
      </c>
      <c r="CW14" s="40" t="s">
        <v>449</v>
      </c>
      <c r="CX14" s="40" t="s">
        <v>449</v>
      </c>
      <c r="CY14" s="40" t="s">
        <v>0</v>
      </c>
      <c r="CZ14" s="40" t="s">
        <v>449</v>
      </c>
      <c r="DA14" s="40" t="s">
        <v>449</v>
      </c>
      <c r="DB14" s="40" t="s">
        <v>449</v>
      </c>
      <c r="DC14" s="40" t="s">
        <v>0</v>
      </c>
      <c r="DD14" s="40" t="s">
        <v>449</v>
      </c>
      <c r="DE14" s="40" t="s">
        <v>449</v>
      </c>
      <c r="DF14" s="40" t="s">
        <v>449</v>
      </c>
      <c r="DG14" s="40" t="s">
        <v>0</v>
      </c>
      <c r="DH14" s="74">
        <v>545</v>
      </c>
    </row>
    <row r="15" spans="1:112" x14ac:dyDescent="0.3">
      <c r="A15" s="73">
        <v>1</v>
      </c>
      <c r="B15" s="39" t="s">
        <v>444</v>
      </c>
      <c r="C15" s="39">
        <v>14</v>
      </c>
      <c r="D15" s="39" t="s">
        <v>65</v>
      </c>
      <c r="E15" s="44">
        <v>44238</v>
      </c>
      <c r="F15" s="43">
        <v>0.67361111111111116</v>
      </c>
      <c r="G15" s="39" t="s">
        <v>66</v>
      </c>
      <c r="H15" s="39" t="s">
        <v>34</v>
      </c>
      <c r="I15" s="39">
        <v>3.6</v>
      </c>
      <c r="J15" s="39">
        <v>8.0739999999999998</v>
      </c>
      <c r="K15" s="39">
        <v>84.1</v>
      </c>
      <c r="L15" s="39">
        <v>11.36</v>
      </c>
      <c r="M15" s="39">
        <v>1.0720000000000001</v>
      </c>
      <c r="N15" s="39">
        <v>0.5</v>
      </c>
      <c r="O15" s="39" t="s">
        <v>342</v>
      </c>
      <c r="P15" s="39" t="s">
        <v>343</v>
      </c>
      <c r="Q15" s="39" t="s">
        <v>343</v>
      </c>
      <c r="R15" s="39">
        <f>(115.1+114.9+115)/3</f>
        <v>115</v>
      </c>
      <c r="S15" s="46">
        <f>(20.1+20.7+20.8)/3</f>
        <v>20.533333333333331</v>
      </c>
      <c r="T15" s="46">
        <f>(0.49+0.42+0.42)/3</f>
        <v>0.4433333333333333</v>
      </c>
      <c r="U15" s="47">
        <v>51.196627999999997</v>
      </c>
      <c r="V15" s="39">
        <v>4.3443820000000004</v>
      </c>
      <c r="W15" s="39">
        <v>3</v>
      </c>
      <c r="X15" s="39" t="s">
        <v>143</v>
      </c>
      <c r="Y15" s="39">
        <v>2</v>
      </c>
      <c r="Z15" s="40">
        <v>375.02</v>
      </c>
      <c r="AA15" s="48">
        <v>5.33</v>
      </c>
      <c r="AB15" s="39">
        <v>15.4</v>
      </c>
      <c r="AC15" s="39">
        <v>16</v>
      </c>
      <c r="AD15" s="39">
        <v>31.3</v>
      </c>
      <c r="AE15" s="39">
        <v>5.9526000000000003</v>
      </c>
      <c r="AF15" s="39">
        <v>0.32740000000000002</v>
      </c>
      <c r="AG15" s="39">
        <f>0.197*0.37</f>
        <v>7.2889999999999996E-2</v>
      </c>
      <c r="AH15" s="39">
        <v>5.5324999999999998</v>
      </c>
      <c r="AI15" s="39">
        <v>0.1166</v>
      </c>
      <c r="AJ15" s="39">
        <v>6.3200000000000006E-2</v>
      </c>
      <c r="AK15" s="39">
        <v>51.051457975986281</v>
      </c>
      <c r="AL15" s="40" t="s">
        <v>373</v>
      </c>
      <c r="AM15" s="39" t="s">
        <v>433</v>
      </c>
      <c r="AN15" s="39">
        <v>0.35</v>
      </c>
      <c r="AO15" s="39">
        <v>2.19</v>
      </c>
      <c r="AP15" s="39">
        <v>0</v>
      </c>
      <c r="AQ15" s="39">
        <v>0</v>
      </c>
      <c r="AR15" s="20">
        <v>283.2</v>
      </c>
      <c r="AS15" s="39">
        <v>2.2590100535110165</v>
      </c>
      <c r="AT15" s="39">
        <v>17.089601779034226</v>
      </c>
      <c r="AU15" s="39" t="s">
        <v>357</v>
      </c>
      <c r="AV15" s="39" t="s">
        <v>356</v>
      </c>
      <c r="AW15" s="48">
        <v>1610.8246694419086</v>
      </c>
      <c r="AX15" s="48">
        <v>1629.9660960440517</v>
      </c>
      <c r="AY15" s="48">
        <v>0.6929413033660512</v>
      </c>
      <c r="AZ15" s="48">
        <v>0.70117552360714708</v>
      </c>
      <c r="BA15" s="48">
        <v>577.80536060913948</v>
      </c>
      <c r="BB15" s="48">
        <v>584.67142065294081</v>
      </c>
      <c r="BC15" s="50">
        <v>164.70372494570083</v>
      </c>
      <c r="BD15" s="51">
        <v>0.20846359599903569</v>
      </c>
      <c r="BE15" s="51">
        <v>5.3695299262214405E-2</v>
      </c>
      <c r="BF15" s="48">
        <v>0.69294100000000003</v>
      </c>
      <c r="BG15" s="50">
        <v>164.70372494570083</v>
      </c>
      <c r="BH15" s="51">
        <v>0.20846359599903569</v>
      </c>
      <c r="BI15" s="51">
        <v>5.3695299262214405E-2</v>
      </c>
      <c r="BJ15" s="39" t="s">
        <v>116</v>
      </c>
      <c r="BK15" s="39" t="s">
        <v>317</v>
      </c>
      <c r="BL15" s="39" t="s">
        <v>366</v>
      </c>
      <c r="BM15" s="39"/>
      <c r="BN15" s="47">
        <v>10.175015645857632</v>
      </c>
      <c r="BO15" s="39">
        <v>5.4302058154382946</v>
      </c>
      <c r="BP15" s="39">
        <v>-3.8430629866567458</v>
      </c>
      <c r="BQ15" s="39">
        <v>20.897158301113148</v>
      </c>
      <c r="BR15" s="39">
        <v>43.562328695627016</v>
      </c>
      <c r="BS15" s="39">
        <v>-9.6270421354537863</v>
      </c>
      <c r="BT15" s="39">
        <v>10.708009051987538</v>
      </c>
      <c r="BU15" s="39">
        <v>43.992772663286559</v>
      </c>
      <c r="BV15" s="52">
        <v>-3.8430629870000002</v>
      </c>
      <c r="BW15" s="52">
        <v>20.897158300000001</v>
      </c>
      <c r="BX15" s="52">
        <v>43.562328700000002</v>
      </c>
      <c r="BY15" s="52">
        <v>-9.6270421349999999</v>
      </c>
      <c r="BZ15" s="52">
        <v>10.708009049999999</v>
      </c>
      <c r="CA15" s="52">
        <v>43.99277266</v>
      </c>
      <c r="CB15" s="52"/>
      <c r="CC15" s="52"/>
      <c r="CD15" s="52"/>
      <c r="CE15" s="52"/>
      <c r="CF15" s="52"/>
      <c r="CG15" s="52"/>
      <c r="CH15" s="39" t="s">
        <v>36</v>
      </c>
      <c r="CI15" s="39" t="s">
        <v>116</v>
      </c>
      <c r="CJ15" s="39" t="s">
        <v>116</v>
      </c>
      <c r="CK15" s="48">
        <v>0.32881437101162508</v>
      </c>
      <c r="CL15" s="48">
        <v>1.1351235982179253E-3</v>
      </c>
      <c r="CM15" s="48">
        <v>0.16077749772320526</v>
      </c>
      <c r="CN15" s="48">
        <v>5.1446902089484162E-3</v>
      </c>
      <c r="CO15" s="48">
        <v>0.47469456609573085</v>
      </c>
      <c r="CP15" s="48">
        <v>0</v>
      </c>
      <c r="CQ15" s="48">
        <v>2.943375136227231E-2</v>
      </c>
      <c r="CR15" s="39" t="s">
        <v>416</v>
      </c>
      <c r="CS15" s="48">
        <v>0.1619126213214232</v>
      </c>
      <c r="CT15" s="48">
        <v>0.5092730076669516</v>
      </c>
      <c r="CU15" s="39" t="s">
        <v>42</v>
      </c>
      <c r="CV15" s="40" t="s">
        <v>0</v>
      </c>
      <c r="CW15" s="40" t="s">
        <v>0</v>
      </c>
      <c r="CX15" s="40" t="s">
        <v>0</v>
      </c>
      <c r="CY15" s="40" t="s">
        <v>449</v>
      </c>
      <c r="CZ15" s="40" t="s">
        <v>0</v>
      </c>
      <c r="DA15" s="40" t="s">
        <v>0</v>
      </c>
      <c r="DB15" s="40" t="s">
        <v>0</v>
      </c>
      <c r="DC15" s="40" t="s">
        <v>0</v>
      </c>
      <c r="DD15" s="40" t="s">
        <v>0</v>
      </c>
      <c r="DE15" s="40" t="s">
        <v>0</v>
      </c>
      <c r="DF15" s="40" t="s">
        <v>0</v>
      </c>
      <c r="DG15" s="40" t="s">
        <v>0</v>
      </c>
      <c r="DH15" s="74">
        <v>1655</v>
      </c>
    </row>
    <row r="16" spans="1:112" x14ac:dyDescent="0.3">
      <c r="A16" s="73">
        <v>1</v>
      </c>
      <c r="B16" s="39" t="s">
        <v>444</v>
      </c>
      <c r="C16" s="39">
        <v>15</v>
      </c>
      <c r="D16" s="39" t="s">
        <v>67</v>
      </c>
      <c r="E16" s="44">
        <v>44238</v>
      </c>
      <c r="F16" s="43">
        <v>0.5180555555555556</v>
      </c>
      <c r="G16" s="39" t="s">
        <v>68</v>
      </c>
      <c r="H16" s="39" t="s">
        <v>34</v>
      </c>
      <c r="I16" s="39">
        <v>3.8</v>
      </c>
      <c r="J16" s="39">
        <v>8.0310000000000006</v>
      </c>
      <c r="K16" s="39">
        <v>77.8</v>
      </c>
      <c r="L16" s="39">
        <v>10.43</v>
      </c>
      <c r="M16" s="39">
        <v>1.022</v>
      </c>
      <c r="N16" s="39">
        <v>0.4</v>
      </c>
      <c r="O16" s="39" t="s">
        <v>341</v>
      </c>
      <c r="P16" s="39" t="s">
        <v>341</v>
      </c>
      <c r="Q16" s="39" t="s">
        <v>341</v>
      </c>
      <c r="R16" s="39">
        <f>(72.1+71.9+71.8)/3</f>
        <v>71.933333333333337</v>
      </c>
      <c r="S16" s="46">
        <f>(14.7+15.2+15.7)/3</f>
        <v>15.199999999999998</v>
      </c>
      <c r="T16" s="46">
        <f>(0.74+0.73+0.7)/3</f>
        <v>0.72333333333333327</v>
      </c>
      <c r="U16" s="47">
        <v>51.224416750945402</v>
      </c>
      <c r="V16" s="39">
        <v>4.3924785210664004</v>
      </c>
      <c r="W16" s="39">
        <v>1</v>
      </c>
      <c r="X16" s="39" t="s">
        <v>143</v>
      </c>
      <c r="Y16" s="39">
        <v>2</v>
      </c>
      <c r="Z16" s="40">
        <v>379.12</v>
      </c>
      <c r="AA16" s="48">
        <v>6.75</v>
      </c>
      <c r="AB16" s="39">
        <v>15.5</v>
      </c>
      <c r="AC16" s="39">
        <v>17.100000000000001</v>
      </c>
      <c r="AD16" s="39">
        <v>32.6</v>
      </c>
      <c r="AE16" s="39">
        <v>7.2390999999999996</v>
      </c>
      <c r="AF16" s="39">
        <v>0.34139999999999998</v>
      </c>
      <c r="AG16" s="39">
        <f>0.192*0.37</f>
        <v>7.1040000000000006E-2</v>
      </c>
      <c r="AH16" s="39">
        <v>5.3185000000000002</v>
      </c>
      <c r="AI16" s="39">
        <v>0.1653</v>
      </c>
      <c r="AJ16" s="39">
        <v>7.8899999999999998E-2</v>
      </c>
      <c r="AK16" s="39">
        <v>43.793708408953414</v>
      </c>
      <c r="AL16" s="40" t="s">
        <v>372</v>
      </c>
      <c r="AM16" s="39" t="s">
        <v>432</v>
      </c>
      <c r="AN16" s="49">
        <v>-2.5</v>
      </c>
      <c r="AO16" s="49">
        <v>4</v>
      </c>
      <c r="AP16" s="39">
        <v>0</v>
      </c>
      <c r="AQ16" s="39">
        <v>0</v>
      </c>
      <c r="AR16" s="20">
        <v>416</v>
      </c>
      <c r="AS16" s="39">
        <v>2.4915788983229299</v>
      </c>
      <c r="AT16" s="39">
        <v>17.026800572699184</v>
      </c>
      <c r="AU16" s="39" t="s">
        <v>357</v>
      </c>
      <c r="AV16" s="39" t="s">
        <v>356</v>
      </c>
      <c r="AW16" s="48">
        <v>6201.9757537836795</v>
      </c>
      <c r="AX16" s="48">
        <v>6346.3409754679114</v>
      </c>
      <c r="AY16" s="48">
        <v>8.0886268879969219</v>
      </c>
      <c r="AZ16" s="48">
        <v>8.2769082454489133</v>
      </c>
      <c r="BA16" s="48">
        <v>2571.5009818973494</v>
      </c>
      <c r="BB16" s="48">
        <v>2631.3585698742695</v>
      </c>
      <c r="BC16" s="50">
        <v>81.695412469363731</v>
      </c>
      <c r="BD16" s="51">
        <v>0.2096549871610397</v>
      </c>
      <c r="BE16" s="51">
        <v>4.5003080729796807E-2</v>
      </c>
      <c r="BF16" s="48">
        <v>8.0886270000000007</v>
      </c>
      <c r="BG16" s="50">
        <v>81.695412469363731</v>
      </c>
      <c r="BH16" s="51">
        <v>0.2096549871610397</v>
      </c>
      <c r="BI16" s="51">
        <v>4.5003080729796807E-2</v>
      </c>
      <c r="BJ16" s="39" t="s">
        <v>39</v>
      </c>
      <c r="BK16" s="39" t="s">
        <v>318</v>
      </c>
      <c r="BL16" s="39" t="s">
        <v>366</v>
      </c>
      <c r="BM16" s="39"/>
      <c r="BN16" s="47">
        <v>10.420670033225663</v>
      </c>
      <c r="BO16" s="39">
        <v>5.1639672693429919</v>
      </c>
      <c r="BP16" s="39">
        <v>-3.8746093556755157</v>
      </c>
      <c r="BQ16" s="39">
        <v>17.967814695496003</v>
      </c>
      <c r="BR16" s="39">
        <v>43.351575437725309</v>
      </c>
      <c r="BS16" s="39">
        <v>-8.4520241322992202</v>
      </c>
      <c r="BT16" s="39">
        <v>11.854003921065498</v>
      </c>
      <c r="BU16" s="39">
        <v>45.218519842451897</v>
      </c>
      <c r="BV16" s="52">
        <v>-3.8746093560000001</v>
      </c>
      <c r="BW16" s="52">
        <v>17.967814700000002</v>
      </c>
      <c r="BX16" s="52">
        <v>43.351575439999998</v>
      </c>
      <c r="BY16" s="52">
        <v>-8.452024132</v>
      </c>
      <c r="BZ16" s="52">
        <v>11.85400392</v>
      </c>
      <c r="CA16" s="52">
        <v>45.218519839999999</v>
      </c>
      <c r="CB16" s="52"/>
      <c r="CC16" s="52"/>
      <c r="CD16" s="52"/>
      <c r="CE16" s="52"/>
      <c r="CF16" s="52"/>
      <c r="CG16" s="52"/>
      <c r="CH16" s="39" t="s">
        <v>39</v>
      </c>
      <c r="CI16" s="39" t="s">
        <v>39</v>
      </c>
      <c r="CJ16" s="39" t="s">
        <v>39</v>
      </c>
      <c r="CK16" s="48">
        <v>0.63878527315024292</v>
      </c>
      <c r="CL16" s="48">
        <v>2.4575089211857099E-3</v>
      </c>
      <c r="CM16" s="48">
        <v>0.17828977367538562</v>
      </c>
      <c r="CN16" s="48">
        <v>6.6566902869503071E-3</v>
      </c>
      <c r="CO16" s="48">
        <v>0.16044356519046585</v>
      </c>
      <c r="CP16" s="48">
        <v>0</v>
      </c>
      <c r="CQ16" s="48">
        <v>1.3367188775769714E-2</v>
      </c>
      <c r="CR16" s="39" t="s">
        <v>420</v>
      </c>
      <c r="CS16" s="48">
        <v>0.18074728259657133</v>
      </c>
      <c r="CT16" s="48">
        <v>0.18046744425318589</v>
      </c>
      <c r="CU16" s="39" t="s">
        <v>420</v>
      </c>
      <c r="CV16" s="40" t="s">
        <v>449</v>
      </c>
      <c r="CW16" s="40" t="s">
        <v>449</v>
      </c>
      <c r="CX16" s="40" t="s">
        <v>449</v>
      </c>
      <c r="CY16" s="40" t="s">
        <v>0</v>
      </c>
      <c r="CZ16" s="40" t="s">
        <v>449</v>
      </c>
      <c r="DA16" s="40" t="s">
        <v>449</v>
      </c>
      <c r="DB16" s="40" t="s">
        <v>449</v>
      </c>
      <c r="DC16" s="40" t="s">
        <v>0</v>
      </c>
      <c r="DD16" s="40" t="s">
        <v>449</v>
      </c>
      <c r="DE16" s="40" t="s">
        <v>449</v>
      </c>
      <c r="DF16" s="40" t="s">
        <v>449</v>
      </c>
      <c r="DG16" s="40" t="s">
        <v>0</v>
      </c>
      <c r="DH16" s="74">
        <v>482</v>
      </c>
    </row>
    <row r="17" spans="1:112" x14ac:dyDescent="0.3">
      <c r="A17" s="73">
        <v>1</v>
      </c>
      <c r="B17" s="39" t="s">
        <v>444</v>
      </c>
      <c r="C17" s="39">
        <v>16</v>
      </c>
      <c r="D17" s="39" t="s">
        <v>69</v>
      </c>
      <c r="E17" s="44">
        <v>44238</v>
      </c>
      <c r="F17" s="43">
        <v>0.5625</v>
      </c>
      <c r="G17" s="39" t="s">
        <v>70</v>
      </c>
      <c r="H17" s="39" t="s">
        <v>34</v>
      </c>
      <c r="I17" s="39">
        <v>4</v>
      </c>
      <c r="J17" s="39">
        <v>8.048</v>
      </c>
      <c r="K17" s="39">
        <v>80.400000000000006</v>
      </c>
      <c r="L17" s="39">
        <v>10.73</v>
      </c>
      <c r="M17" s="39">
        <v>1</v>
      </c>
      <c r="N17" s="39">
        <v>0.4</v>
      </c>
      <c r="O17" s="39" t="s">
        <v>341</v>
      </c>
      <c r="P17" s="39" t="s">
        <v>341</v>
      </c>
      <c r="Q17" s="39" t="s">
        <v>341</v>
      </c>
      <c r="R17" s="39">
        <f>(106+105.8+105.9)/3</f>
        <v>105.90000000000002</v>
      </c>
      <c r="S17" s="46">
        <f>(7.9+7.4+6.7)/3</f>
        <v>7.333333333333333</v>
      </c>
      <c r="T17" s="46">
        <v>0.42666599999999999</v>
      </c>
      <c r="U17" s="47">
        <v>51.234163383876002</v>
      </c>
      <c r="V17" s="39">
        <v>4.3969127627314597</v>
      </c>
      <c r="W17" s="39">
        <v>1</v>
      </c>
      <c r="X17" s="39" t="s">
        <v>143</v>
      </c>
      <c r="Y17" s="39">
        <v>2</v>
      </c>
      <c r="Z17" s="40">
        <v>384.78</v>
      </c>
      <c r="AA17" s="48">
        <v>4.25</v>
      </c>
      <c r="AB17" s="39">
        <v>14.8</v>
      </c>
      <c r="AC17" s="39">
        <v>13.6</v>
      </c>
      <c r="AD17" s="39">
        <v>28.4</v>
      </c>
      <c r="AE17" s="39">
        <v>6.1852999999999998</v>
      </c>
      <c r="AF17" s="39">
        <v>0.37590000000000001</v>
      </c>
      <c r="AG17" s="39">
        <f>0.192*0.37</f>
        <v>7.1040000000000006E-2</v>
      </c>
      <c r="AH17" s="39">
        <v>4.5956000000000001</v>
      </c>
      <c r="AI17" s="39">
        <v>0.16070000000000001</v>
      </c>
      <c r="AJ17" s="39">
        <v>7.8899999999999998E-2</v>
      </c>
      <c r="AK17" s="39">
        <v>38.489732420659614</v>
      </c>
      <c r="AL17" s="40" t="s">
        <v>373</v>
      </c>
      <c r="AM17" s="39" t="s">
        <v>432</v>
      </c>
      <c r="AN17" s="49">
        <v>-1.6</v>
      </c>
      <c r="AO17" s="49">
        <v>4</v>
      </c>
      <c r="AP17" s="39">
        <v>0</v>
      </c>
      <c r="AQ17" s="39">
        <v>0</v>
      </c>
      <c r="AR17" s="20">
        <v>482</v>
      </c>
      <c r="AS17" s="39">
        <v>2.333253555817576</v>
      </c>
      <c r="AT17" s="39">
        <v>17.034666379146696</v>
      </c>
      <c r="AU17" s="39" t="s">
        <v>357</v>
      </c>
      <c r="AV17" s="39" t="s">
        <v>356</v>
      </c>
      <c r="AW17" s="48">
        <v>1344.8170751590633</v>
      </c>
      <c r="AX17" s="48">
        <v>1372.5503678156308</v>
      </c>
      <c r="AY17" s="48">
        <v>1.5314080466989231</v>
      </c>
      <c r="AZ17" s="48">
        <v>1.5629892842666417</v>
      </c>
      <c r="BA17" s="48">
        <v>502.22680481593483</v>
      </c>
      <c r="BB17" s="48">
        <v>512.58390335016156</v>
      </c>
      <c r="BC17" s="50">
        <v>96.517196521094462</v>
      </c>
      <c r="BD17" s="51">
        <v>0.21758269565916866</v>
      </c>
      <c r="BE17" s="51">
        <v>4.4855946764578034E-2</v>
      </c>
      <c r="BF17" s="48">
        <v>1.5314080000000001</v>
      </c>
      <c r="BG17" s="50">
        <v>96.517196521094462</v>
      </c>
      <c r="BH17" s="51">
        <v>0.21758269565916866</v>
      </c>
      <c r="BI17" s="51">
        <v>4.4855946764578034E-2</v>
      </c>
      <c r="BJ17" s="39" t="s">
        <v>39</v>
      </c>
      <c r="BK17" s="39" t="s">
        <v>319</v>
      </c>
      <c r="BL17" s="39" t="s">
        <v>366</v>
      </c>
      <c r="BM17" s="39"/>
      <c r="BN17" s="47">
        <v>10.426434953767957</v>
      </c>
      <c r="BO17" s="39">
        <v>4.956129166715658</v>
      </c>
      <c r="BP17" s="39">
        <v>-3.7100149268143259</v>
      </c>
      <c r="BQ17" s="39">
        <v>18.687276096605348</v>
      </c>
      <c r="BR17" s="39">
        <v>43.543484106507655</v>
      </c>
      <c r="BS17" s="39">
        <v>-9.2566810744156189</v>
      </c>
      <c r="BT17" s="39">
        <v>9.9599846536584664</v>
      </c>
      <c r="BU17" s="39">
        <v>44.352769194561795</v>
      </c>
      <c r="BV17" s="52">
        <v>-3.710014927</v>
      </c>
      <c r="BW17" s="52">
        <v>18.687276099999998</v>
      </c>
      <c r="BX17" s="52">
        <v>43.543484110000001</v>
      </c>
      <c r="BY17" s="52">
        <v>-9.2566810739999994</v>
      </c>
      <c r="BZ17" s="52">
        <v>9.9599846539999994</v>
      </c>
      <c r="CA17" s="52">
        <v>44.352769189999997</v>
      </c>
      <c r="CB17" s="52"/>
      <c r="CC17" s="52"/>
      <c r="CD17" s="52"/>
      <c r="CE17" s="52"/>
      <c r="CF17" s="52"/>
      <c r="CG17" s="52"/>
      <c r="CH17" s="39" t="s">
        <v>39</v>
      </c>
      <c r="CI17" s="39" t="s">
        <v>50</v>
      </c>
      <c r="CJ17" s="39" t="s">
        <v>39</v>
      </c>
      <c r="CK17" s="48">
        <v>0.61224259512991064</v>
      </c>
      <c r="CL17" s="48">
        <v>2.405203976768468E-3</v>
      </c>
      <c r="CM17" s="48">
        <v>0.1766700393370467</v>
      </c>
      <c r="CN17" s="48">
        <v>7.1048669815422906E-3</v>
      </c>
      <c r="CO17" s="48">
        <v>0.17628072400970349</v>
      </c>
      <c r="CP17" s="48">
        <v>0</v>
      </c>
      <c r="CQ17" s="48">
        <v>2.5296570565028466E-2</v>
      </c>
      <c r="CR17" s="39" t="s">
        <v>420</v>
      </c>
      <c r="CS17" s="48">
        <v>0.17907524331381516</v>
      </c>
      <c r="CT17" s="48">
        <v>0.20868216155627423</v>
      </c>
      <c r="CU17" s="39" t="s">
        <v>420</v>
      </c>
      <c r="CV17" s="40" t="s">
        <v>0</v>
      </c>
      <c r="CW17" s="40" t="s">
        <v>0</v>
      </c>
      <c r="CX17" s="40" t="s">
        <v>449</v>
      </c>
      <c r="CY17" s="40" t="s">
        <v>0</v>
      </c>
      <c r="CZ17" s="40" t="s">
        <v>449</v>
      </c>
      <c r="DA17" s="40" t="s">
        <v>0</v>
      </c>
      <c r="DB17" s="40" t="s">
        <v>449</v>
      </c>
      <c r="DC17" s="40" t="s">
        <v>0</v>
      </c>
      <c r="DD17" s="40" t="s">
        <v>0</v>
      </c>
      <c r="DE17" s="40" t="s">
        <v>449</v>
      </c>
      <c r="DF17" s="40" t="s">
        <v>449</v>
      </c>
      <c r="DG17" s="40" t="s">
        <v>0</v>
      </c>
      <c r="DH17" s="74">
        <v>858</v>
      </c>
    </row>
    <row r="18" spans="1:112" x14ac:dyDescent="0.3">
      <c r="A18" s="73">
        <v>1</v>
      </c>
      <c r="B18" s="39" t="s">
        <v>444</v>
      </c>
      <c r="C18" s="39">
        <v>17</v>
      </c>
      <c r="D18" s="39" t="s">
        <v>104</v>
      </c>
      <c r="E18" s="44">
        <v>44238</v>
      </c>
      <c r="F18" s="43">
        <v>0.61805555555555558</v>
      </c>
      <c r="G18" s="39" t="s">
        <v>71</v>
      </c>
      <c r="H18" s="39" t="s">
        <v>34</v>
      </c>
      <c r="I18" s="39">
        <v>3.5</v>
      </c>
      <c r="J18" s="39">
        <v>8.1020000000000003</v>
      </c>
      <c r="K18" s="39">
        <v>82.2</v>
      </c>
      <c r="L18" s="39">
        <v>11.03</v>
      </c>
      <c r="M18" s="39">
        <v>1.1080000000000001</v>
      </c>
      <c r="N18" s="39">
        <v>0.5</v>
      </c>
      <c r="O18" s="39" t="s">
        <v>342</v>
      </c>
      <c r="P18" s="39" t="s">
        <v>343</v>
      </c>
      <c r="Q18" s="39" t="s">
        <v>343</v>
      </c>
      <c r="R18" s="39">
        <f>(174.9+172.8+168)/3</f>
        <v>171.9</v>
      </c>
      <c r="S18" s="46">
        <f>(11.5+12.3+12.2)/3</f>
        <v>12</v>
      </c>
      <c r="T18" s="46">
        <v>0.45</v>
      </c>
      <c r="U18" s="47">
        <v>51.240257050765003</v>
      </c>
      <c r="V18" s="39">
        <v>4.3847901649809504</v>
      </c>
      <c r="W18" s="39">
        <v>1</v>
      </c>
      <c r="X18" s="39" t="s">
        <v>143</v>
      </c>
      <c r="Y18" s="39">
        <v>2</v>
      </c>
      <c r="Z18" s="40">
        <v>442.28</v>
      </c>
      <c r="AA18" s="48">
        <v>6.02</v>
      </c>
      <c r="AB18" s="39">
        <v>12.2</v>
      </c>
      <c r="AC18" s="39">
        <v>13.9</v>
      </c>
      <c r="AD18" s="39">
        <v>26.1</v>
      </c>
      <c r="AE18" s="39">
        <v>5.9184999999999999</v>
      </c>
      <c r="AF18" s="39">
        <v>0.44919999999999999</v>
      </c>
      <c r="AG18" s="39">
        <f>0.169*0.37</f>
        <v>6.2530000000000002E-2</v>
      </c>
      <c r="AH18" s="39">
        <v>4.8</v>
      </c>
      <c r="AI18" s="39">
        <v>0.16209999999999999</v>
      </c>
      <c r="AJ18" s="39">
        <v>8.5699999999999998E-2</v>
      </c>
      <c r="AK18" s="39">
        <v>36.511412708204816</v>
      </c>
      <c r="AL18" s="40" t="s">
        <v>373</v>
      </c>
      <c r="AM18" s="39" t="s">
        <v>432</v>
      </c>
      <c r="AN18" s="49">
        <v>-1.3</v>
      </c>
      <c r="AO18" s="49">
        <v>3</v>
      </c>
      <c r="AP18" s="39">
        <v>0</v>
      </c>
      <c r="AQ18" s="39">
        <v>0</v>
      </c>
      <c r="AR18" s="20">
        <v>409.6</v>
      </c>
      <c r="AS18" s="39">
        <v>2.3115686717082848</v>
      </c>
      <c r="AT18" s="39">
        <v>17.029666952374868</v>
      </c>
      <c r="AU18" s="39" t="s">
        <v>357</v>
      </c>
      <c r="AV18" s="39" t="s">
        <v>356</v>
      </c>
      <c r="AW18" s="48">
        <v>2002.7526950799136</v>
      </c>
      <c r="AX18" s="48">
        <v>2038.114890909907</v>
      </c>
      <c r="AY18" s="48">
        <v>0.45984187568212387</v>
      </c>
      <c r="AZ18" s="48">
        <v>0.46796120988581907</v>
      </c>
      <c r="BA18" s="48">
        <v>677.9904243896143</v>
      </c>
      <c r="BB18" s="48">
        <v>689.96156302147051</v>
      </c>
      <c r="BC18" s="50">
        <v>64.996135565788691</v>
      </c>
      <c r="BD18" s="51">
        <v>0.20985262922258111</v>
      </c>
      <c r="BE18" s="51">
        <v>3.9010873403167376E-2</v>
      </c>
      <c r="BF18" s="48">
        <v>0.45984199999999997</v>
      </c>
      <c r="BG18" s="50">
        <v>64.996135565788691</v>
      </c>
      <c r="BH18" s="51">
        <v>0.20985262922258111</v>
      </c>
      <c r="BI18" s="51">
        <v>3.9010873403167376E-2</v>
      </c>
      <c r="BJ18" s="39" t="s">
        <v>42</v>
      </c>
      <c r="BK18" s="39" t="s">
        <v>317</v>
      </c>
      <c r="BL18" s="39" t="s">
        <v>366</v>
      </c>
      <c r="BM18" s="39"/>
      <c r="BN18" s="47">
        <v>10.174806297925119</v>
      </c>
      <c r="BO18" s="39">
        <v>4.1943278304011455</v>
      </c>
      <c r="BP18" s="39">
        <v>-5.8068657253950056</v>
      </c>
      <c r="BQ18" s="39">
        <v>14.687782286176132</v>
      </c>
      <c r="BR18" s="39">
        <v>42.62283900260875</v>
      </c>
      <c r="BS18" s="39">
        <v>-13.229410669771376</v>
      </c>
      <c r="BT18" s="39">
        <v>9.052202755860808</v>
      </c>
      <c r="BU18" s="39">
        <v>45.41457112326016</v>
      </c>
      <c r="BV18" s="52">
        <v>-5.8068657249999998</v>
      </c>
      <c r="BW18" s="52">
        <v>14.687782289999999</v>
      </c>
      <c r="BX18" s="52">
        <v>42.622838999999999</v>
      </c>
      <c r="BY18" s="52">
        <v>-13.22941067</v>
      </c>
      <c r="BZ18" s="52">
        <v>9.0522027559999998</v>
      </c>
      <c r="CA18" s="52">
        <v>45.414571119999998</v>
      </c>
      <c r="CB18" s="52"/>
      <c r="CC18" s="52"/>
      <c r="CD18" s="52"/>
      <c r="CE18" s="52"/>
      <c r="CF18" s="52"/>
      <c r="CG18" s="52"/>
      <c r="CH18" s="39" t="s">
        <v>47</v>
      </c>
      <c r="CI18" s="39" t="s">
        <v>47</v>
      </c>
      <c r="CJ18" s="39" t="s">
        <v>47</v>
      </c>
      <c r="CK18" s="48">
        <v>0.43703833358407779</v>
      </c>
      <c r="CL18" s="48">
        <v>5.6849121406171476E-3</v>
      </c>
      <c r="CM18" s="48">
        <v>0.20211644609864798</v>
      </c>
      <c r="CN18" s="48">
        <v>1.094342074683843E-2</v>
      </c>
      <c r="CO18" s="48">
        <v>0.29091105997338829</v>
      </c>
      <c r="CP18" s="48">
        <v>0</v>
      </c>
      <c r="CQ18" s="48">
        <v>5.330582745643038E-2</v>
      </c>
      <c r="CR18" s="39" t="s">
        <v>420</v>
      </c>
      <c r="CS18" s="48">
        <v>0.20780135823926513</v>
      </c>
      <c r="CT18" s="48">
        <v>0.35516030817665706</v>
      </c>
      <c r="CU18" s="39" t="s">
        <v>420</v>
      </c>
      <c r="CV18" s="40" t="s">
        <v>0</v>
      </c>
      <c r="CW18" s="40" t="s">
        <v>0</v>
      </c>
      <c r="CX18" s="40" t="s">
        <v>0</v>
      </c>
      <c r="CY18" s="40" t="s">
        <v>0</v>
      </c>
      <c r="CZ18" s="40" t="s">
        <v>0</v>
      </c>
      <c r="DA18" s="40" t="s">
        <v>0</v>
      </c>
      <c r="DB18" s="40" t="s">
        <v>0</v>
      </c>
      <c r="DC18" s="40" t="s">
        <v>0</v>
      </c>
      <c r="DD18" s="40" t="s">
        <v>0</v>
      </c>
      <c r="DE18" s="40" t="s">
        <v>0</v>
      </c>
      <c r="DF18" s="40" t="s">
        <v>0</v>
      </c>
      <c r="DG18" s="40" t="s">
        <v>0</v>
      </c>
      <c r="DH18" s="74">
        <v>1400</v>
      </c>
    </row>
    <row r="19" spans="1:112" x14ac:dyDescent="0.3">
      <c r="A19" s="73">
        <v>1</v>
      </c>
      <c r="B19" s="39" t="s">
        <v>444</v>
      </c>
      <c r="C19" s="39">
        <v>18</v>
      </c>
      <c r="D19" s="39" t="s">
        <v>72</v>
      </c>
      <c r="E19" s="44">
        <v>44239</v>
      </c>
      <c r="F19" s="43">
        <v>0.64930555555555558</v>
      </c>
      <c r="G19" s="39" t="s">
        <v>73</v>
      </c>
      <c r="H19" s="39" t="s">
        <v>34</v>
      </c>
      <c r="I19" s="39">
        <v>3.9</v>
      </c>
      <c r="J19" s="39">
        <v>8.11</v>
      </c>
      <c r="K19" s="39">
        <v>85.7</v>
      </c>
      <c r="L19" s="39">
        <v>11.38</v>
      </c>
      <c r="M19" s="39">
        <v>2.02</v>
      </c>
      <c r="N19" s="39">
        <v>1</v>
      </c>
      <c r="O19" s="39" t="s">
        <v>342</v>
      </c>
      <c r="P19" s="39" t="s">
        <v>343</v>
      </c>
      <c r="Q19" s="39" t="s">
        <v>343</v>
      </c>
      <c r="R19" s="39">
        <v>70.7</v>
      </c>
      <c r="S19" s="46">
        <f>(14.6+14.7+15.1)/3</f>
        <v>14.799999999999999</v>
      </c>
      <c r="T19" s="46">
        <f>(0.42+0.43+0.38)/3</f>
        <v>0.41</v>
      </c>
      <c r="U19" s="47">
        <v>51.249890600997503</v>
      </c>
      <c r="V19" s="39">
        <v>4.3109073639491502</v>
      </c>
      <c r="W19" s="39">
        <v>3</v>
      </c>
      <c r="X19" s="39" t="s">
        <v>143</v>
      </c>
      <c r="Y19" s="39">
        <v>2</v>
      </c>
      <c r="Z19" s="40">
        <v>784.1</v>
      </c>
      <c r="AA19" s="48">
        <v>10.140000209808338</v>
      </c>
      <c r="AB19" s="39">
        <v>12.2</v>
      </c>
      <c r="AC19" s="39">
        <v>13</v>
      </c>
      <c r="AD19" s="39">
        <v>25.2</v>
      </c>
      <c r="AE19" s="39">
        <v>5.7351999999999999</v>
      </c>
      <c r="AF19" s="39">
        <v>0.32</v>
      </c>
      <c r="AG19" s="39">
        <f>0.14*0.37</f>
        <v>5.1800000000000006E-2</v>
      </c>
      <c r="AH19" s="39">
        <v>4.9024999999999999</v>
      </c>
      <c r="AI19" s="39">
        <v>0.16159999999999999</v>
      </c>
      <c r="AJ19" s="39">
        <v>8.3400000000000002E-2</v>
      </c>
      <c r="AK19" s="39">
        <v>35.490099009900987</v>
      </c>
      <c r="AL19" s="40" t="s">
        <v>373</v>
      </c>
      <c r="AM19" s="39" t="s">
        <v>432</v>
      </c>
      <c r="AN19" s="39">
        <v>-2.2200000000000002</v>
      </c>
      <c r="AO19" s="39">
        <v>4.8499999999999996</v>
      </c>
      <c r="AP19" s="39">
        <v>0</v>
      </c>
      <c r="AQ19" s="39">
        <v>0</v>
      </c>
      <c r="AR19" s="20">
        <v>247.2</v>
      </c>
      <c r="AS19" s="39">
        <v>2.0016507846466545</v>
      </c>
      <c r="AT19" s="39">
        <v>17.030187020446899</v>
      </c>
      <c r="AU19" s="39" t="s">
        <v>357</v>
      </c>
      <c r="AV19" s="39" t="s">
        <v>356</v>
      </c>
      <c r="AW19" s="48">
        <v>494.88233570970687</v>
      </c>
      <c r="AX19" s="48">
        <v>506.06116380014839</v>
      </c>
      <c r="AY19" s="48">
        <v>2.9561938256109022</v>
      </c>
      <c r="AZ19" s="48">
        <v>3.022970875818479</v>
      </c>
      <c r="BA19" s="48">
        <v>168.10696706094336</v>
      </c>
      <c r="BB19" s="48">
        <v>171.90431190430863</v>
      </c>
      <c r="BC19" s="50">
        <v>170.39677722475955</v>
      </c>
      <c r="BD19" s="51">
        <v>0.45375326970235802</v>
      </c>
      <c r="BE19" s="51">
        <v>3.698681627254817E-2</v>
      </c>
      <c r="BF19" s="48">
        <v>2.956194</v>
      </c>
      <c r="BG19" s="50">
        <v>170.39677722475955</v>
      </c>
      <c r="BH19" s="51">
        <v>0.45375326970235802</v>
      </c>
      <c r="BI19" s="51">
        <v>3.698681627254817E-2</v>
      </c>
      <c r="BJ19" s="39" t="s">
        <v>116</v>
      </c>
      <c r="BK19" s="40" t="s">
        <v>318</v>
      </c>
      <c r="BL19" s="39" t="s">
        <v>366</v>
      </c>
      <c r="BM19" s="39"/>
      <c r="BN19" s="47">
        <v>9.9880721962497834</v>
      </c>
      <c r="BO19" s="39">
        <v>3.8471072290538406</v>
      </c>
      <c r="BP19" s="39">
        <v>-3.3572459235275565</v>
      </c>
      <c r="BQ19" s="39">
        <v>15.927937701542602</v>
      </c>
      <c r="BR19" s="39">
        <v>43.402770081912365</v>
      </c>
      <c r="BS19" s="39">
        <v>-34.041375058896755</v>
      </c>
      <c r="BT19" s="39">
        <v>9.0678186910749119</v>
      </c>
      <c r="BU19" s="39">
        <v>46.028671232965159</v>
      </c>
      <c r="BV19" s="52">
        <v>-3.3572459239999999</v>
      </c>
      <c r="BW19" s="52">
        <v>15.927937699999999</v>
      </c>
      <c r="BX19" s="52">
        <v>43.402770080000003</v>
      </c>
      <c r="BY19" s="52">
        <v>-34.04137506</v>
      </c>
      <c r="BZ19" s="52">
        <v>9.0678186909999994</v>
      </c>
      <c r="CA19" s="52">
        <v>46.02867123</v>
      </c>
      <c r="CB19" s="52"/>
      <c r="CC19" s="52"/>
      <c r="CD19" s="52"/>
      <c r="CE19" s="52"/>
      <c r="CF19" s="52"/>
      <c r="CG19" s="52"/>
      <c r="CH19" s="39" t="s">
        <v>116</v>
      </c>
      <c r="CI19" s="39" t="s">
        <v>116</v>
      </c>
      <c r="CJ19" s="39" t="s">
        <v>116</v>
      </c>
      <c r="CK19" s="48">
        <v>0.32270033134412668</v>
      </c>
      <c r="CL19" s="48">
        <v>1.7785364528895287E-2</v>
      </c>
      <c r="CM19" s="48">
        <v>0.32340890745343065</v>
      </c>
      <c r="CN19" s="48">
        <v>7.3123063382544004E-3</v>
      </c>
      <c r="CO19" s="48">
        <v>0.26546414397673879</v>
      </c>
      <c r="CP19" s="48">
        <v>1.1228864989799688E-5</v>
      </c>
      <c r="CQ19" s="48">
        <v>6.3317717493564296E-2</v>
      </c>
      <c r="CR19" s="39" t="s">
        <v>420</v>
      </c>
      <c r="CS19" s="48">
        <v>0.34119427198232594</v>
      </c>
      <c r="CT19" s="48">
        <v>0.33610539667354727</v>
      </c>
      <c r="CU19" s="39" t="s">
        <v>420</v>
      </c>
      <c r="CV19" s="40" t="s">
        <v>0</v>
      </c>
      <c r="CW19" s="40" t="s">
        <v>0</v>
      </c>
      <c r="CX19" s="40" t="s">
        <v>0</v>
      </c>
      <c r="CY19" s="40" t="s">
        <v>449</v>
      </c>
      <c r="CZ19" s="40" t="s">
        <v>0</v>
      </c>
      <c r="DA19" s="40" t="s">
        <v>0</v>
      </c>
      <c r="DB19" s="40" t="s">
        <v>0</v>
      </c>
      <c r="DC19" s="40" t="s">
        <v>449</v>
      </c>
      <c r="DD19" s="40" t="s">
        <v>0</v>
      </c>
      <c r="DE19" s="40" t="s">
        <v>0</v>
      </c>
      <c r="DF19" s="40" t="s">
        <v>0</v>
      </c>
      <c r="DG19" s="40" t="s">
        <v>449</v>
      </c>
      <c r="DH19" s="74">
        <v>1950</v>
      </c>
    </row>
    <row r="20" spans="1:112" x14ac:dyDescent="0.3">
      <c r="A20" s="73">
        <v>1</v>
      </c>
      <c r="B20" s="39" t="s">
        <v>444</v>
      </c>
      <c r="C20" s="39">
        <v>19</v>
      </c>
      <c r="D20" s="39" t="s">
        <v>74</v>
      </c>
      <c r="E20" s="44">
        <v>44239</v>
      </c>
      <c r="F20" s="43">
        <v>0.46319444444444446</v>
      </c>
      <c r="G20" s="39" t="s">
        <v>75</v>
      </c>
      <c r="H20" s="39" t="s">
        <v>34</v>
      </c>
      <c r="I20" s="39">
        <v>4</v>
      </c>
      <c r="J20" s="39">
        <v>8.0690000000000008</v>
      </c>
      <c r="K20" s="39">
        <v>77.400000000000006</v>
      </c>
      <c r="L20" s="39">
        <v>10.29</v>
      </c>
      <c r="M20" s="39">
        <v>1.556</v>
      </c>
      <c r="N20" s="39">
        <v>0.7</v>
      </c>
      <c r="O20" s="39" t="s">
        <v>342</v>
      </c>
      <c r="P20" s="39" t="s">
        <v>343</v>
      </c>
      <c r="Q20" s="39" t="s">
        <v>343</v>
      </c>
      <c r="R20" s="39">
        <f>(129.5+128+127.6)/3</f>
        <v>128.36666666666667</v>
      </c>
      <c r="S20" s="46">
        <v>19.5</v>
      </c>
      <c r="T20" s="46">
        <f>(0.49+0.5+0.46)/3</f>
        <v>0.48333333333333334</v>
      </c>
      <c r="U20" s="47">
        <v>51.268097715301998</v>
      </c>
      <c r="V20" s="39">
        <v>4.2988790267486303</v>
      </c>
      <c r="W20" s="39">
        <v>1</v>
      </c>
      <c r="X20" s="39" t="s">
        <v>143</v>
      </c>
      <c r="Y20" s="39">
        <v>2</v>
      </c>
      <c r="Z20" s="40">
        <v>858.39</v>
      </c>
      <c r="AA20" s="48">
        <v>4.0599999999999996</v>
      </c>
      <c r="AB20" s="39">
        <v>11.9</v>
      </c>
      <c r="AC20" s="39">
        <v>13.8</v>
      </c>
      <c r="AD20" s="39">
        <v>25.6</v>
      </c>
      <c r="AE20" s="39">
        <v>5.5720999999999998</v>
      </c>
      <c r="AF20" s="39">
        <v>0.32029999999999997</v>
      </c>
      <c r="AG20" s="39">
        <f>0.159*0.37</f>
        <v>5.883E-2</v>
      </c>
      <c r="AH20" s="39">
        <v>4.6349</v>
      </c>
      <c r="AI20" s="39">
        <v>0.157</v>
      </c>
      <c r="AJ20" s="39">
        <v>8.4500000000000006E-2</v>
      </c>
      <c r="AK20" s="39">
        <v>35.491082802547773</v>
      </c>
      <c r="AL20" s="40" t="s">
        <v>372</v>
      </c>
      <c r="AM20" s="39" t="s">
        <v>447</v>
      </c>
      <c r="AN20" s="39">
        <v>-3.58</v>
      </c>
      <c r="AO20" s="39">
        <v>5.44</v>
      </c>
      <c r="AP20" s="39">
        <v>0</v>
      </c>
      <c r="AQ20" s="39">
        <v>0</v>
      </c>
      <c r="AR20" s="20">
        <v>295.5</v>
      </c>
      <c r="AS20" s="39">
        <v>2.2367798289343326</v>
      </c>
      <c r="AT20" s="39">
        <v>17.039565725690526</v>
      </c>
      <c r="AU20" s="39" t="s">
        <v>357</v>
      </c>
      <c r="AV20" s="39" t="s">
        <v>356</v>
      </c>
      <c r="AW20" s="48">
        <v>1305.1241950916701</v>
      </c>
      <c r="AX20" s="48">
        <v>1341.8227943378583</v>
      </c>
      <c r="AY20" s="48">
        <v>552.58149199301056</v>
      </c>
      <c r="AZ20" s="48">
        <v>568.11945137019291</v>
      </c>
      <c r="BA20" s="48">
        <v>410.18187664465626</v>
      </c>
      <c r="BB20" s="48">
        <v>421.71572174969964</v>
      </c>
      <c r="BC20" s="50">
        <v>76.886923945300211</v>
      </c>
      <c r="BD20" s="51">
        <v>0.19579354339603344</v>
      </c>
      <c r="BE20" s="51">
        <v>8.2909159465287152E-2</v>
      </c>
      <c r="BF20" s="48"/>
      <c r="BG20" s="50">
        <v>76.886923945300211</v>
      </c>
      <c r="BH20" s="51">
        <v>0.19579354339603344</v>
      </c>
      <c r="BI20" s="51">
        <v>8.2909159465287152E-2</v>
      </c>
      <c r="BJ20" s="39" t="s">
        <v>116</v>
      </c>
      <c r="BK20" s="39" t="s">
        <v>319</v>
      </c>
      <c r="BL20" s="39" t="s">
        <v>366</v>
      </c>
      <c r="BM20" s="39"/>
      <c r="BN20" s="47">
        <v>9.9158528502740264</v>
      </c>
      <c r="BO20" s="39">
        <v>3.9925352625491701</v>
      </c>
      <c r="BP20" s="39">
        <v>-3.7515546187859994</v>
      </c>
      <c r="BQ20" s="39">
        <v>16.095532980398914</v>
      </c>
      <c r="BR20" s="39">
        <v>43.192087279934007</v>
      </c>
      <c r="BS20" s="39">
        <v>-24.423311951413613</v>
      </c>
      <c r="BT20" s="39">
        <v>4.8551912404834177</v>
      </c>
      <c r="BU20" s="39">
        <v>48.013923811200065</v>
      </c>
      <c r="BV20" s="52">
        <v>-3.7515546190000002</v>
      </c>
      <c r="BW20" s="52">
        <v>16.095532980000002</v>
      </c>
      <c r="BX20" s="52">
        <v>43.192087280000003</v>
      </c>
      <c r="BY20" s="52">
        <v>-24.423311949999999</v>
      </c>
      <c r="BZ20" s="52">
        <v>4.8551912399999999</v>
      </c>
      <c r="CA20" s="52">
        <v>48.013923810000001</v>
      </c>
      <c r="CB20" s="52"/>
      <c r="CC20" s="52"/>
      <c r="CD20" s="52"/>
      <c r="CE20" s="52"/>
      <c r="CF20" s="52"/>
      <c r="CG20" s="52"/>
      <c r="CH20" s="39" t="s">
        <v>116</v>
      </c>
      <c r="CI20" s="39" t="s">
        <v>116</v>
      </c>
      <c r="CJ20" s="39" t="s">
        <v>116</v>
      </c>
      <c r="CK20" s="48">
        <v>0.65057084990155978</v>
      </c>
      <c r="CL20" s="48">
        <v>1.3822397585741919E-2</v>
      </c>
      <c r="CM20" s="48">
        <v>0.16525055897570687</v>
      </c>
      <c r="CN20" s="48">
        <v>1.3293713192688296E-2</v>
      </c>
      <c r="CO20" s="48">
        <v>3.1371569138509692E-2</v>
      </c>
      <c r="CP20" s="48">
        <v>0</v>
      </c>
      <c r="CQ20" s="48">
        <v>0.12569091120579357</v>
      </c>
      <c r="CR20" s="39" t="s">
        <v>420</v>
      </c>
      <c r="CS20" s="48">
        <v>0.17907295656144878</v>
      </c>
      <c r="CT20" s="48">
        <v>0.17035619353699155</v>
      </c>
      <c r="CU20" s="39" t="s">
        <v>420</v>
      </c>
      <c r="CV20" s="40" t="s">
        <v>0</v>
      </c>
      <c r="CW20" s="40" t="s">
        <v>0</v>
      </c>
      <c r="CX20" s="40" t="s">
        <v>0</v>
      </c>
      <c r="CY20" s="40" t="s">
        <v>0</v>
      </c>
      <c r="CZ20" s="40" t="s">
        <v>0</v>
      </c>
      <c r="DA20" s="40" t="s">
        <v>0</v>
      </c>
      <c r="DB20" s="40" t="s">
        <v>0</v>
      </c>
      <c r="DC20" s="40" t="s">
        <v>449</v>
      </c>
      <c r="DD20" s="40" t="s">
        <v>0</v>
      </c>
      <c r="DE20" s="40" t="s">
        <v>0</v>
      </c>
      <c r="DF20" s="40" t="s">
        <v>0</v>
      </c>
      <c r="DG20" s="40" t="s">
        <v>449</v>
      </c>
      <c r="DH20" s="74">
        <v>2183</v>
      </c>
    </row>
    <row r="21" spans="1:112" x14ac:dyDescent="0.3">
      <c r="A21" s="73">
        <v>1</v>
      </c>
      <c r="B21" s="39" t="s">
        <v>444</v>
      </c>
      <c r="C21" s="39">
        <v>20</v>
      </c>
      <c r="D21" s="39" t="s">
        <v>80</v>
      </c>
      <c r="E21" s="44">
        <v>44267</v>
      </c>
      <c r="F21" s="43">
        <v>0.45555555555555555</v>
      </c>
      <c r="G21" s="39" t="s">
        <v>77</v>
      </c>
      <c r="H21" s="39" t="s">
        <v>34</v>
      </c>
      <c r="I21" s="39">
        <v>8</v>
      </c>
      <c r="J21" s="39">
        <v>8.3989999999999991</v>
      </c>
      <c r="K21" s="39">
        <v>91</v>
      </c>
      <c r="L21" s="39">
        <v>10.4</v>
      </c>
      <c r="M21" s="39">
        <v>7.3</v>
      </c>
      <c r="N21" s="39">
        <v>3.9</v>
      </c>
      <c r="O21" s="39" t="s">
        <v>342</v>
      </c>
      <c r="P21" s="39" t="s">
        <v>343</v>
      </c>
      <c r="Q21" s="39" t="s">
        <v>343</v>
      </c>
      <c r="R21" s="39">
        <v>43.7</v>
      </c>
      <c r="S21" s="46" t="s">
        <v>109</v>
      </c>
      <c r="T21" s="46">
        <f>(0.51+0.69+0.72)/3</f>
        <v>0.64</v>
      </c>
      <c r="U21" s="47">
        <v>51.286917000000003</v>
      </c>
      <c r="V21" s="39">
        <v>4.3145829999999998</v>
      </c>
      <c r="W21" s="39">
        <v>1</v>
      </c>
      <c r="X21" s="39" t="s">
        <v>143</v>
      </c>
      <c r="Y21" s="39">
        <v>2</v>
      </c>
      <c r="Z21" s="40">
        <v>831.22</v>
      </c>
      <c r="AA21" s="48">
        <v>2.8</v>
      </c>
      <c r="AB21" s="39">
        <v>19.3</v>
      </c>
      <c r="AC21" s="39">
        <v>20.6</v>
      </c>
      <c r="AD21" s="39">
        <v>40</v>
      </c>
      <c r="AE21" s="39">
        <v>2.2166999999999999</v>
      </c>
      <c r="AF21" s="39">
        <f>0.334*1.23</f>
        <v>0.41082000000000002</v>
      </c>
      <c r="AG21" s="39">
        <v>2.4899999999999999E-2</v>
      </c>
      <c r="AH21" s="39">
        <v>4.2500999999999998</v>
      </c>
      <c r="AI21" s="39">
        <v>0.39729999999999999</v>
      </c>
      <c r="AJ21" s="39">
        <v>5.1700000000000003E-2</v>
      </c>
      <c r="AK21" s="39">
        <v>5.5794110244147994</v>
      </c>
      <c r="AL21" s="40" t="s">
        <v>372</v>
      </c>
      <c r="AM21" s="39" t="s">
        <v>432</v>
      </c>
      <c r="AN21" s="39">
        <v>8.34</v>
      </c>
      <c r="AO21" s="39">
        <v>6.99</v>
      </c>
      <c r="AP21" s="39">
        <v>0</v>
      </c>
      <c r="AQ21" s="39">
        <v>3.85</v>
      </c>
      <c r="AR21" s="20">
        <v>168.3</v>
      </c>
      <c r="AS21" s="39">
        <v>2.4871561882916677</v>
      </c>
      <c r="AT21" s="39">
        <v>14.059931173404294</v>
      </c>
      <c r="AU21" s="39" t="s">
        <v>357</v>
      </c>
      <c r="AV21" s="39" t="s">
        <v>356</v>
      </c>
      <c r="AW21" s="48">
        <v>1190.1981384644889</v>
      </c>
      <c r="AX21" s="48">
        <v>1188.7605479032684</v>
      </c>
      <c r="AY21" s="48">
        <v>3.229529304688997</v>
      </c>
      <c r="AZ21" s="48">
        <v>3.2256284912903195</v>
      </c>
      <c r="BA21" s="48">
        <v>237.08735650924297</v>
      </c>
      <c r="BB21" s="48">
        <v>236.80098860554071</v>
      </c>
      <c r="BC21" s="50">
        <v>4367.133384242321</v>
      </c>
      <c r="BD21" s="51">
        <v>0.11810911872640288</v>
      </c>
      <c r="BE21" s="51">
        <v>0.17090493394537412</v>
      </c>
      <c r="BF21" s="48">
        <v>3.2295289999999999</v>
      </c>
      <c r="BG21" s="50"/>
      <c r="BH21" s="51">
        <v>0.11810911872640288</v>
      </c>
      <c r="BI21" s="51">
        <v>0.17090493394537412</v>
      </c>
      <c r="BJ21" s="39" t="s">
        <v>116</v>
      </c>
      <c r="BK21" s="39" t="s">
        <v>318</v>
      </c>
      <c r="BL21" s="39" t="s">
        <v>366</v>
      </c>
      <c r="BM21" s="39"/>
      <c r="BN21" s="47">
        <v>10.812906977662168</v>
      </c>
      <c r="BO21" s="39">
        <v>3.6218455341571389</v>
      </c>
      <c r="BP21" s="39"/>
      <c r="BQ21" s="39"/>
      <c r="BR21" s="39"/>
      <c r="BS21" s="39">
        <v>-2.2248505635519598</v>
      </c>
      <c r="BT21" s="39">
        <v>12.1775432725839</v>
      </c>
      <c r="BU21" s="39">
        <v>51.093300928836577</v>
      </c>
      <c r="BV21" s="52"/>
      <c r="BW21" s="52"/>
      <c r="BX21" s="52"/>
      <c r="BY21" s="52">
        <v>-2.224850564</v>
      </c>
      <c r="BZ21" s="52">
        <v>12.177543269999999</v>
      </c>
      <c r="CA21" s="52">
        <v>51.093300929999998</v>
      </c>
      <c r="CB21" s="52"/>
      <c r="CC21" s="52"/>
      <c r="CD21" s="52"/>
      <c r="CE21" s="52"/>
      <c r="CF21" s="52"/>
      <c r="CG21" s="52"/>
      <c r="CH21" s="39" t="s">
        <v>116</v>
      </c>
      <c r="CI21" s="39" t="s">
        <v>116</v>
      </c>
      <c r="CJ21" s="39" t="s">
        <v>116</v>
      </c>
      <c r="CK21" s="48">
        <v>0.25186687781925021</v>
      </c>
      <c r="CL21" s="48">
        <v>2.8225905762076516E-2</v>
      </c>
      <c r="CM21" s="48">
        <v>0.34785269028669408</v>
      </c>
      <c r="CN21" s="48">
        <v>7.5199556431800346E-2</v>
      </c>
      <c r="CO21" s="48">
        <v>0.11185581324325673</v>
      </c>
      <c r="CP21" s="48">
        <v>0</v>
      </c>
      <c r="CQ21" s="48">
        <v>0.18499915645692216</v>
      </c>
      <c r="CR21" s="39" t="s">
        <v>415</v>
      </c>
      <c r="CS21" s="48">
        <v>0.37607859604877059</v>
      </c>
      <c r="CT21" s="48">
        <v>0.37205452613197926</v>
      </c>
      <c r="CU21" s="39" t="s">
        <v>418</v>
      </c>
      <c r="CV21" s="40" t="s">
        <v>0</v>
      </c>
      <c r="CW21" s="40" t="s">
        <v>0</v>
      </c>
      <c r="CX21" s="40" t="s">
        <v>0</v>
      </c>
      <c r="CY21" s="40" t="s">
        <v>0</v>
      </c>
      <c r="CZ21" s="40" t="s">
        <v>0</v>
      </c>
      <c r="DA21" s="40" t="s">
        <v>0</v>
      </c>
      <c r="DB21" s="40" t="s">
        <v>0</v>
      </c>
      <c r="DC21" s="40" t="s">
        <v>0</v>
      </c>
      <c r="DD21" s="40" t="s">
        <v>0</v>
      </c>
      <c r="DE21" s="40" t="s">
        <v>0</v>
      </c>
      <c r="DF21" s="40" t="s">
        <v>0</v>
      </c>
      <c r="DG21" s="40" t="s">
        <v>0</v>
      </c>
      <c r="DH21" s="74">
        <v>4650</v>
      </c>
    </row>
    <row r="22" spans="1:112" x14ac:dyDescent="0.3">
      <c r="A22" s="73">
        <v>1</v>
      </c>
      <c r="B22" s="39" t="s">
        <v>444</v>
      </c>
      <c r="C22" s="39">
        <v>21</v>
      </c>
      <c r="D22" s="39" t="s">
        <v>78</v>
      </c>
      <c r="E22" s="44">
        <v>44267</v>
      </c>
      <c r="F22" s="43">
        <v>0.48958333333333331</v>
      </c>
      <c r="G22" s="39" t="s">
        <v>79</v>
      </c>
      <c r="H22" s="39" t="s">
        <v>34</v>
      </c>
      <c r="I22" s="39">
        <v>8</v>
      </c>
      <c r="J22" s="39">
        <v>8.5190000000000001</v>
      </c>
      <c r="K22" s="39">
        <v>96.8</v>
      </c>
      <c r="L22" s="39">
        <v>11.07</v>
      </c>
      <c r="M22" s="39">
        <v>7.95</v>
      </c>
      <c r="N22" s="39">
        <v>4.3</v>
      </c>
      <c r="O22" s="39" t="s">
        <v>342</v>
      </c>
      <c r="P22" s="39" t="s">
        <v>343</v>
      </c>
      <c r="Q22" s="39" t="s">
        <v>343</v>
      </c>
      <c r="R22" s="39">
        <f>(287.1+286.4+282.8)/3</f>
        <v>285.43333333333334</v>
      </c>
      <c r="S22" s="46" t="s">
        <v>109</v>
      </c>
      <c r="T22" s="46">
        <v>0.4</v>
      </c>
      <c r="U22" s="47">
        <v>51.299182999999999</v>
      </c>
      <c r="V22" s="39">
        <v>4.3012329999999999</v>
      </c>
      <c r="W22" s="39">
        <v>1</v>
      </c>
      <c r="X22" s="39" t="s">
        <v>143</v>
      </c>
      <c r="Y22" s="39">
        <v>1</v>
      </c>
      <c r="Z22" s="40">
        <v>886.93</v>
      </c>
      <c r="AA22" s="48">
        <v>0.2</v>
      </c>
      <c r="AB22" s="39">
        <v>21.7</v>
      </c>
      <c r="AC22" s="39">
        <v>30</v>
      </c>
      <c r="AD22" s="39">
        <v>51.8</v>
      </c>
      <c r="AE22" s="39">
        <v>3.3127</v>
      </c>
      <c r="AF22" s="39">
        <f>0.317*1.23</f>
        <v>0.38990999999999998</v>
      </c>
      <c r="AG22" s="39">
        <v>2.7799999999999998E-2</v>
      </c>
      <c r="AH22" s="39">
        <v>4.7160000000000002</v>
      </c>
      <c r="AI22" s="39">
        <v>0.251</v>
      </c>
      <c r="AJ22" s="39">
        <v>6.4699999999999994E-2</v>
      </c>
      <c r="AK22" s="39">
        <v>13.19800796812749</v>
      </c>
      <c r="AL22" s="40" t="s">
        <v>372</v>
      </c>
      <c r="AM22" s="39" t="s">
        <v>432</v>
      </c>
      <c r="AN22" s="39">
        <v>8.4499999999999993</v>
      </c>
      <c r="AO22" s="39">
        <v>6.51</v>
      </c>
      <c r="AP22" s="39">
        <v>0</v>
      </c>
      <c r="AQ22" s="39">
        <v>3.85</v>
      </c>
      <c r="AR22" s="20">
        <v>154.9</v>
      </c>
      <c r="AS22" s="39">
        <v>2.6961378936160991</v>
      </c>
      <c r="AT22" s="39">
        <v>14.055412823613747</v>
      </c>
      <c r="AU22" s="39" t="s">
        <v>357</v>
      </c>
      <c r="AV22" s="39" t="s">
        <v>356</v>
      </c>
      <c r="AW22" s="48">
        <v>2398.9814953275409</v>
      </c>
      <c r="AX22" s="48">
        <v>2395.1478956368546</v>
      </c>
      <c r="AY22" s="48">
        <v>0.91112645310409168</v>
      </c>
      <c r="AZ22" s="48">
        <v>0.90967046267832197</v>
      </c>
      <c r="BA22" s="48">
        <v>652.43532665307714</v>
      </c>
      <c r="BB22" s="48">
        <v>651.39272758704772</v>
      </c>
      <c r="BC22" s="50">
        <v>670.66638480945778</v>
      </c>
      <c r="BD22" s="51">
        <v>0.23012160882359453</v>
      </c>
      <c r="BE22" s="51">
        <v>5.595672625964937E-2</v>
      </c>
      <c r="BF22" s="48">
        <v>0.91112599999999999</v>
      </c>
      <c r="BG22" s="50"/>
      <c r="BH22" s="51">
        <v>0.23012160882359453</v>
      </c>
      <c r="BI22" s="51">
        <v>5.595672625964937E-2</v>
      </c>
      <c r="BJ22" s="39" t="s">
        <v>116</v>
      </c>
      <c r="BK22" s="39" t="s">
        <v>314</v>
      </c>
      <c r="BL22" s="39" t="s">
        <v>368</v>
      </c>
      <c r="BM22" s="39" t="s">
        <v>370</v>
      </c>
      <c r="BN22" s="47">
        <v>9.7243284398206278</v>
      </c>
      <c r="BO22" s="39">
        <v>4.3076119359184304</v>
      </c>
      <c r="BP22" s="39"/>
      <c r="BQ22" s="39"/>
      <c r="BR22" s="39"/>
      <c r="BS22" s="39">
        <v>-7.3994589091129122</v>
      </c>
      <c r="BT22" s="39">
        <v>11.06487676329742</v>
      </c>
      <c r="BU22" s="39">
        <v>44.891110197393061</v>
      </c>
      <c r="BV22" s="52"/>
      <c r="BW22" s="52"/>
      <c r="BX22" s="52"/>
      <c r="BY22" s="52">
        <v>-7.3994589089999998</v>
      </c>
      <c r="BZ22" s="52">
        <v>11.064876760000001</v>
      </c>
      <c r="CA22" s="52">
        <v>44.8911102</v>
      </c>
      <c r="CB22" s="52"/>
      <c r="CC22" s="52"/>
      <c r="CD22" s="52"/>
      <c r="CE22" s="52"/>
      <c r="CF22" s="52"/>
      <c r="CG22" s="52"/>
      <c r="CH22" s="39" t="s">
        <v>116</v>
      </c>
      <c r="CI22" s="39" t="s">
        <v>116</v>
      </c>
      <c r="CJ22" s="39" t="s">
        <v>116</v>
      </c>
      <c r="CK22" s="48">
        <v>0.39100946016591459</v>
      </c>
      <c r="CL22" s="48">
        <v>5.9175075826130505E-3</v>
      </c>
      <c r="CM22" s="48">
        <v>0.35074441963863862</v>
      </c>
      <c r="CN22" s="48">
        <v>4.174122419497097E-2</v>
      </c>
      <c r="CO22" s="48">
        <v>9.8711408699682424E-2</v>
      </c>
      <c r="CP22" s="48">
        <v>0</v>
      </c>
      <c r="CQ22" s="48">
        <v>0.11187597971818025</v>
      </c>
      <c r="CR22" s="39" t="s">
        <v>420</v>
      </c>
      <c r="CS22" s="48">
        <v>0.35666192722125167</v>
      </c>
      <c r="CT22" s="48">
        <v>0.25232861261283368</v>
      </c>
      <c r="CU22" s="39" t="s">
        <v>420</v>
      </c>
      <c r="CV22" s="40" t="s">
        <v>0</v>
      </c>
      <c r="CW22" s="40" t="s">
        <v>0</v>
      </c>
      <c r="CX22" s="40" t="s">
        <v>0</v>
      </c>
      <c r="CY22" s="40" t="s">
        <v>0</v>
      </c>
      <c r="CZ22" s="40" t="s">
        <v>0</v>
      </c>
      <c r="DA22" s="40" t="s">
        <v>0</v>
      </c>
      <c r="DB22" s="40" t="s">
        <v>0</v>
      </c>
      <c r="DC22" s="40" t="s">
        <v>0</v>
      </c>
      <c r="DD22" s="40" t="s">
        <v>0</v>
      </c>
      <c r="DE22" s="40" t="s">
        <v>0</v>
      </c>
      <c r="DF22" s="40" t="s">
        <v>0</v>
      </c>
      <c r="DG22" s="40" t="s">
        <v>0</v>
      </c>
      <c r="DH22" s="74">
        <v>2950</v>
      </c>
    </row>
    <row r="23" spans="1:112" x14ac:dyDescent="0.3">
      <c r="A23" s="73">
        <v>1</v>
      </c>
      <c r="B23" s="39" t="s">
        <v>444</v>
      </c>
      <c r="C23" s="39">
        <v>22</v>
      </c>
      <c r="D23" s="39" t="s">
        <v>76</v>
      </c>
      <c r="E23" s="44">
        <v>44239</v>
      </c>
      <c r="F23" s="43">
        <v>0.54305555555555551</v>
      </c>
      <c r="G23" s="39" t="s">
        <v>81</v>
      </c>
      <c r="H23" s="39" t="s">
        <v>34</v>
      </c>
      <c r="I23" s="39">
        <v>4.9000000000000004</v>
      </c>
      <c r="J23" s="39">
        <v>8.1170000000000009</v>
      </c>
      <c r="K23" s="39">
        <v>80.5</v>
      </c>
      <c r="L23" s="39">
        <v>10.41</v>
      </c>
      <c r="M23" s="39">
        <v>3.86</v>
      </c>
      <c r="N23" s="39">
        <v>2</v>
      </c>
      <c r="O23" s="39" t="s">
        <v>342</v>
      </c>
      <c r="P23" s="39" t="s">
        <v>343</v>
      </c>
      <c r="Q23" s="39" t="s">
        <v>343</v>
      </c>
      <c r="R23" s="39">
        <f>(151.9+153+153.2)/3</f>
        <v>152.69999999999999</v>
      </c>
      <c r="S23" s="46">
        <f>(21.2+21.2+21.4)/3</f>
        <v>21.266666666666666</v>
      </c>
      <c r="T23" s="46">
        <f>(0.43+0.49+0.5)/3</f>
        <v>0.47333333333333333</v>
      </c>
      <c r="U23" s="47">
        <v>51.302831880575503</v>
      </c>
      <c r="V23" s="39">
        <v>4.2856914617172501</v>
      </c>
      <c r="W23" s="39">
        <v>1</v>
      </c>
      <c r="X23" s="39" t="s">
        <v>143</v>
      </c>
      <c r="Y23" s="39">
        <v>2</v>
      </c>
      <c r="Z23" s="40">
        <v>877.01</v>
      </c>
      <c r="AA23" s="48">
        <v>5.07</v>
      </c>
      <c r="AB23" s="39">
        <v>10.5</v>
      </c>
      <c r="AC23" s="39">
        <v>14.3</v>
      </c>
      <c r="AD23" s="39">
        <v>24.8</v>
      </c>
      <c r="AE23" s="39">
        <v>5.0547000000000004</v>
      </c>
      <c r="AF23" s="39">
        <v>0.2515</v>
      </c>
      <c r="AG23" s="39">
        <f>0.111*0.37</f>
        <v>4.1070000000000002E-2</v>
      </c>
      <c r="AH23" s="39">
        <v>4.0441000000000003</v>
      </c>
      <c r="AI23" s="39">
        <v>0.19059999999999999</v>
      </c>
      <c r="AJ23" s="39">
        <v>8.4900000000000003E-2</v>
      </c>
      <c r="AK23" s="39">
        <v>26.519937040923402</v>
      </c>
      <c r="AL23" s="40" t="s">
        <v>372</v>
      </c>
      <c r="AM23" s="39" t="s">
        <v>432</v>
      </c>
      <c r="AN23" s="39">
        <v>-1.77</v>
      </c>
      <c r="AO23" s="39">
        <v>4.18</v>
      </c>
      <c r="AP23" s="39">
        <v>0</v>
      </c>
      <c r="AQ23" s="39">
        <v>0</v>
      </c>
      <c r="AR23" s="20">
        <v>448.2</v>
      </c>
      <c r="AS23" s="39">
        <v>2.0167664722680421</v>
      </c>
      <c r="AT23" s="39">
        <v>16.961138141194979</v>
      </c>
      <c r="AU23" s="39" t="s">
        <v>357</v>
      </c>
      <c r="AV23" s="39" t="s">
        <v>356</v>
      </c>
      <c r="AW23" s="48">
        <v>3815.2660488696297</v>
      </c>
      <c r="AX23" s="48">
        <v>3909.0379721726008</v>
      </c>
      <c r="AY23" s="48">
        <v>3.0057999859390461</v>
      </c>
      <c r="AZ23" s="48">
        <v>3.0796767856524121</v>
      </c>
      <c r="BA23" s="48">
        <v>1105.3310916182713</v>
      </c>
      <c r="BB23" s="48">
        <v>1132.4980102603743</v>
      </c>
      <c r="BC23" s="50">
        <v>3648.666751259022</v>
      </c>
      <c r="BD23" s="51">
        <v>8.3406094551712634E-2</v>
      </c>
      <c r="BE23" s="51">
        <v>0.10096666067778048</v>
      </c>
      <c r="BF23" s="48">
        <v>3.0057999999999998</v>
      </c>
      <c r="BG23" s="50"/>
      <c r="BH23" s="51">
        <v>8.3406094551712634E-2</v>
      </c>
      <c r="BI23" s="51">
        <v>0.10096666067778048</v>
      </c>
      <c r="BJ23" s="39" t="s">
        <v>39</v>
      </c>
      <c r="BK23" s="39" t="s">
        <v>319</v>
      </c>
      <c r="BL23" s="39" t="s">
        <v>366</v>
      </c>
      <c r="BM23" s="39"/>
      <c r="BN23" s="47">
        <v>11.05014234019243</v>
      </c>
      <c r="BO23" s="39">
        <v>3.4396389992727512</v>
      </c>
      <c r="BP23" s="39"/>
      <c r="BQ23" s="39"/>
      <c r="BR23" s="39"/>
      <c r="BS23" s="39">
        <v>-1.9187124673185103</v>
      </c>
      <c r="BT23" s="39">
        <v>12.95971069866847</v>
      </c>
      <c r="BU23" s="39">
        <v>45.157085173446134</v>
      </c>
      <c r="BV23" s="52"/>
      <c r="BW23" s="52"/>
      <c r="BX23" s="52"/>
      <c r="BY23" s="52">
        <v>-1.918712467</v>
      </c>
      <c r="BZ23" s="52">
        <v>12.9597107</v>
      </c>
      <c r="CA23" s="52">
        <v>45.157085170000002</v>
      </c>
      <c r="CB23" s="52"/>
      <c r="CC23" s="52"/>
      <c r="CD23" s="52"/>
      <c r="CE23" s="52"/>
      <c r="CF23" s="52"/>
      <c r="CG23" s="52"/>
      <c r="CH23" s="39" t="s">
        <v>116</v>
      </c>
      <c r="CI23" s="39" t="s">
        <v>36</v>
      </c>
      <c r="CJ23" s="39" t="s">
        <v>36</v>
      </c>
      <c r="CK23" s="48">
        <v>0.34014985250695512</v>
      </c>
      <c r="CL23" s="48">
        <v>4.5290631940705321E-3</v>
      </c>
      <c r="CM23" s="48">
        <v>0.24990649343069651</v>
      </c>
      <c r="CN23" s="48">
        <v>0.17717973510683227</v>
      </c>
      <c r="CO23" s="48">
        <v>0.1472012264930177</v>
      </c>
      <c r="CP23" s="48">
        <v>4.5374262935134789E-5</v>
      </c>
      <c r="CQ23" s="48">
        <v>8.0988255005492657E-2</v>
      </c>
      <c r="CR23" s="39" t="s">
        <v>420</v>
      </c>
      <c r="CS23" s="48">
        <v>0.25443555662476702</v>
      </c>
      <c r="CT23" s="48">
        <v>0.4054145908682778</v>
      </c>
      <c r="CU23" s="39" t="s">
        <v>42</v>
      </c>
      <c r="CV23" s="40" t="s">
        <v>0</v>
      </c>
      <c r="CW23" s="40" t="s">
        <v>0</v>
      </c>
      <c r="CX23" s="40" t="s">
        <v>0</v>
      </c>
      <c r="CY23" s="40" t="s">
        <v>449</v>
      </c>
      <c r="CZ23" s="40" t="s">
        <v>0</v>
      </c>
      <c r="DA23" s="40" t="s">
        <v>0</v>
      </c>
      <c r="DB23" s="40" t="s">
        <v>0</v>
      </c>
      <c r="DC23" s="40" t="s">
        <v>449</v>
      </c>
      <c r="DD23" s="40" t="s">
        <v>0</v>
      </c>
      <c r="DE23" s="40" t="s">
        <v>0</v>
      </c>
      <c r="DF23" s="40" t="s">
        <v>0</v>
      </c>
      <c r="DG23" s="40" t="s">
        <v>449</v>
      </c>
      <c r="DH23" s="74">
        <v>1750</v>
      </c>
    </row>
    <row r="24" spans="1:112" x14ac:dyDescent="0.3">
      <c r="A24" s="73">
        <v>1</v>
      </c>
      <c r="B24" s="39" t="s">
        <v>444</v>
      </c>
      <c r="C24" s="39">
        <v>23</v>
      </c>
      <c r="D24" s="39" t="s">
        <v>82</v>
      </c>
      <c r="E24" s="44">
        <v>44267</v>
      </c>
      <c r="F24" s="43">
        <v>0.53402777777777777</v>
      </c>
      <c r="G24" s="39" t="s">
        <v>83</v>
      </c>
      <c r="H24" s="39" t="s">
        <v>34</v>
      </c>
      <c r="I24" s="39">
        <v>8</v>
      </c>
      <c r="J24" s="39">
        <v>8.4120000000000008</v>
      </c>
      <c r="K24" s="39">
        <v>94.3</v>
      </c>
      <c r="L24" s="39">
        <v>10.64</v>
      </c>
      <c r="M24" s="39">
        <v>10.62</v>
      </c>
      <c r="N24" s="39">
        <v>5.9</v>
      </c>
      <c r="O24" s="39" t="s">
        <v>342</v>
      </c>
      <c r="P24" s="39" t="s">
        <v>344</v>
      </c>
      <c r="Q24" s="39" t="s">
        <v>344</v>
      </c>
      <c r="R24" s="39">
        <v>72.599999999999994</v>
      </c>
      <c r="S24" s="46" t="s">
        <v>109</v>
      </c>
      <c r="T24" s="46">
        <f>(0.8+0.84+0.72)/3</f>
        <v>0.78666666666666674</v>
      </c>
      <c r="U24" s="47">
        <v>51.314639999999997</v>
      </c>
      <c r="V24" s="39">
        <v>4.2760879999999997</v>
      </c>
      <c r="W24" s="39">
        <v>1</v>
      </c>
      <c r="X24" s="39" t="s">
        <v>143</v>
      </c>
      <c r="Y24" s="39">
        <v>2</v>
      </c>
      <c r="Z24" s="40">
        <v>1064.81</v>
      </c>
      <c r="AA24" s="48">
        <v>13</v>
      </c>
      <c r="AB24" s="39">
        <v>11.1</v>
      </c>
      <c r="AC24" s="39">
        <v>23.8</v>
      </c>
      <c r="AD24" s="39">
        <v>34.9</v>
      </c>
      <c r="AE24" s="39">
        <v>3.0954000000000002</v>
      </c>
      <c r="AF24" s="39">
        <f>0.297*1.23</f>
        <v>0.36530999999999997</v>
      </c>
      <c r="AG24" s="39">
        <v>2.7199999999999998E-2</v>
      </c>
      <c r="AH24" s="39">
        <v>2.8530000000000002</v>
      </c>
      <c r="AI24" s="39">
        <v>0.13200000000000001</v>
      </c>
      <c r="AJ24" s="39">
        <v>5.6899999999999999E-2</v>
      </c>
      <c r="AK24" s="39">
        <v>23.45</v>
      </c>
      <c r="AL24" s="40" t="s">
        <v>373</v>
      </c>
      <c r="AM24" s="39" t="s">
        <v>432</v>
      </c>
      <c r="AN24" s="39">
        <v>9.1</v>
      </c>
      <c r="AO24" s="39">
        <v>7.07</v>
      </c>
      <c r="AP24" s="39">
        <v>0.86</v>
      </c>
      <c r="AQ24" s="39">
        <v>3.85</v>
      </c>
      <c r="AR24" s="20">
        <v>165.7</v>
      </c>
      <c r="AS24" s="39">
        <v>2.1637867711605741</v>
      </c>
      <c r="AT24" s="39">
        <v>17.055282044158972</v>
      </c>
      <c r="AU24" s="39" t="s">
        <v>357</v>
      </c>
      <c r="AV24" s="39" t="s">
        <v>356</v>
      </c>
      <c r="AW24" s="41">
        <v>3336.2693463662567</v>
      </c>
      <c r="AX24" s="53">
        <v>3323.2670566195675</v>
      </c>
      <c r="AY24" s="48">
        <v>3.2198364700815088</v>
      </c>
      <c r="AZ24" s="48">
        <v>3.2072879488517847</v>
      </c>
      <c r="BA24" s="48">
        <v>973.38629506605423</v>
      </c>
      <c r="BB24" s="48">
        <v>969.59276123231587</v>
      </c>
      <c r="BC24" s="50">
        <v>3526.7045511156266</v>
      </c>
      <c r="BD24" s="51">
        <v>8.863272831036878E-2</v>
      </c>
      <c r="BE24" s="51">
        <v>0.12528737404044604</v>
      </c>
      <c r="BF24" s="48">
        <v>3.2198359999999999</v>
      </c>
      <c r="BG24" s="50"/>
      <c r="BH24" s="51">
        <v>8.863272831036878E-2</v>
      </c>
      <c r="BI24" s="51">
        <v>0.12528737404044604</v>
      </c>
      <c r="BJ24" s="39" t="s">
        <v>116</v>
      </c>
      <c r="BK24" s="39" t="s">
        <v>319</v>
      </c>
      <c r="BL24" s="39" t="s">
        <v>366</v>
      </c>
      <c r="BM24" s="39"/>
      <c r="BN24" s="47">
        <v>10.491537631788844</v>
      </c>
      <c r="BO24" s="39">
        <v>2.4403900819227706</v>
      </c>
      <c r="BP24" s="39"/>
      <c r="BQ24" s="39"/>
      <c r="BR24" s="39"/>
      <c r="BS24" s="39"/>
      <c r="BT24" s="39"/>
      <c r="BU24" s="39"/>
      <c r="BV24" s="52"/>
      <c r="BW24" s="52"/>
      <c r="BX24" s="52"/>
      <c r="BY24" s="52"/>
      <c r="BZ24" s="52"/>
      <c r="CA24" s="52"/>
      <c r="CB24" s="52"/>
      <c r="CC24" s="52"/>
      <c r="CD24" s="52"/>
      <c r="CE24" s="52"/>
      <c r="CF24" s="52"/>
      <c r="CG24" s="52"/>
      <c r="CH24" s="39" t="s">
        <v>36</v>
      </c>
      <c r="CI24" s="39" t="s">
        <v>116</v>
      </c>
      <c r="CJ24" s="39" t="s">
        <v>116</v>
      </c>
      <c r="CK24" s="48">
        <v>0.17773134769490748</v>
      </c>
      <c r="CL24" s="48">
        <v>6.7523687824318612E-2</v>
      </c>
      <c r="CM24" s="48">
        <v>0.3642802706620199</v>
      </c>
      <c r="CN24" s="48">
        <v>0.26101930735751933</v>
      </c>
      <c r="CO24" s="48">
        <v>8.0524442265845458E-2</v>
      </c>
      <c r="CP24" s="48">
        <v>5.4299347832891812E-5</v>
      </c>
      <c r="CQ24" s="48">
        <v>4.8866644847556241E-2</v>
      </c>
      <c r="CR24" s="39" t="s">
        <v>415</v>
      </c>
      <c r="CS24" s="48">
        <v>0.43180395848633851</v>
      </c>
      <c r="CT24" s="48">
        <v>0.39046469381875393</v>
      </c>
      <c r="CU24" s="39" t="s">
        <v>418</v>
      </c>
      <c r="CV24" s="40" t="s">
        <v>0</v>
      </c>
      <c r="CW24" s="40" t="s">
        <v>0</v>
      </c>
      <c r="CX24" s="40" t="s">
        <v>449</v>
      </c>
      <c r="CY24" s="40" t="s">
        <v>449</v>
      </c>
      <c r="CZ24" s="40" t="s">
        <v>0</v>
      </c>
      <c r="DA24" s="40" t="s">
        <v>0</v>
      </c>
      <c r="DB24" s="40" t="s">
        <v>0</v>
      </c>
      <c r="DC24" s="40" t="s">
        <v>0</v>
      </c>
      <c r="DD24" s="40" t="s">
        <v>0</v>
      </c>
      <c r="DE24" s="40" t="s">
        <v>0</v>
      </c>
      <c r="DF24" s="40" t="s">
        <v>449</v>
      </c>
      <c r="DG24" s="40" t="s">
        <v>449</v>
      </c>
      <c r="DH24" s="74">
        <v>1127</v>
      </c>
    </row>
    <row r="25" spans="1:112" x14ac:dyDescent="0.3">
      <c r="A25" s="73">
        <v>1</v>
      </c>
      <c r="B25" s="39" t="s">
        <v>444</v>
      </c>
      <c r="C25" s="39">
        <v>24</v>
      </c>
      <c r="D25" s="39" t="s">
        <v>84</v>
      </c>
      <c r="E25" s="44">
        <v>44267</v>
      </c>
      <c r="F25" s="43">
        <v>0.58750000000000002</v>
      </c>
      <c r="G25" s="39" t="s">
        <v>85</v>
      </c>
      <c r="H25" s="39" t="s">
        <v>145</v>
      </c>
      <c r="I25" s="39">
        <v>7.57</v>
      </c>
      <c r="J25" s="39">
        <v>8.4990000000000006</v>
      </c>
      <c r="K25" s="39">
        <v>98.5</v>
      </c>
      <c r="L25" s="39">
        <v>11.08</v>
      </c>
      <c r="M25" s="39">
        <v>14.23</v>
      </c>
      <c r="N25" s="39">
        <v>8</v>
      </c>
      <c r="O25" s="39" t="s">
        <v>342</v>
      </c>
      <c r="P25" s="39" t="s">
        <v>344</v>
      </c>
      <c r="Q25" s="39" t="s">
        <v>344</v>
      </c>
      <c r="R25" s="39">
        <v>68.7</v>
      </c>
      <c r="S25" s="46" t="s">
        <v>109</v>
      </c>
      <c r="T25" s="46">
        <f>(0.25+0.37*2)/3</f>
        <v>0.33</v>
      </c>
      <c r="U25" s="47">
        <v>51.368499999999997</v>
      </c>
      <c r="V25" s="39">
        <v>4.2107000000000001</v>
      </c>
      <c r="W25" s="39">
        <v>1</v>
      </c>
      <c r="X25" s="39" t="s">
        <v>143</v>
      </c>
      <c r="Y25" s="39">
        <v>2</v>
      </c>
      <c r="Z25" s="40">
        <v>2206.0100000000002</v>
      </c>
      <c r="AA25" s="48">
        <v>0.9</v>
      </c>
      <c r="AB25" s="39">
        <v>12.6</v>
      </c>
      <c r="AC25" s="39">
        <v>19.3</v>
      </c>
      <c r="AD25" s="39">
        <v>31.9</v>
      </c>
      <c r="AE25" s="39">
        <v>1.3619000000000001</v>
      </c>
      <c r="AF25" s="39">
        <f>0.222*1.23</f>
        <v>0.27306000000000002</v>
      </c>
      <c r="AG25" s="39">
        <v>2.87E-2</v>
      </c>
      <c r="AH25" s="39">
        <v>2.8538000000000001</v>
      </c>
      <c r="AI25" s="39">
        <v>0.25440000000000002</v>
      </c>
      <c r="AJ25" s="39">
        <v>4.82E-2</v>
      </c>
      <c r="AK25" s="39">
        <v>5.3533805031446544</v>
      </c>
      <c r="AL25" s="40" t="s">
        <v>373</v>
      </c>
      <c r="AM25" s="39"/>
      <c r="AN25" s="49">
        <v>8.1999999999999993</v>
      </c>
      <c r="AO25" s="49">
        <v>10</v>
      </c>
      <c r="AP25" s="49">
        <v>1.2</v>
      </c>
      <c r="AQ25" s="49">
        <v>5.5</v>
      </c>
      <c r="AR25" s="20">
        <v>80.400000000000006</v>
      </c>
      <c r="AS25" s="39">
        <v>1.8091963290808117</v>
      </c>
      <c r="AT25" s="39">
        <v>14.056227195287356</v>
      </c>
      <c r="AU25" s="39" t="s">
        <v>358</v>
      </c>
      <c r="AV25" s="39" t="s">
        <v>356</v>
      </c>
      <c r="AW25" s="48">
        <v>312.32376712531493</v>
      </c>
      <c r="AX25" s="48">
        <v>311.62441054707057</v>
      </c>
      <c r="AY25" s="48">
        <v>0.14467368006321343</v>
      </c>
      <c r="AZ25" s="48">
        <v>0.14434972620346642</v>
      </c>
      <c r="BA25" s="48">
        <v>103.15715593176125</v>
      </c>
      <c r="BB25" s="48">
        <v>102.92616603221596</v>
      </c>
      <c r="BC25" s="50">
        <v>303.40797288744398</v>
      </c>
      <c r="BD25" s="51">
        <v>0.21348671717486889</v>
      </c>
      <c r="BE25" s="51">
        <v>0.13180144812479441</v>
      </c>
      <c r="BF25" s="48">
        <v>0.144674</v>
      </c>
      <c r="BG25" s="50">
        <v>303.40797288744398</v>
      </c>
      <c r="BH25" s="51">
        <v>0.21348671717486889</v>
      </c>
      <c r="BI25" s="51">
        <v>0.13180144812479441</v>
      </c>
      <c r="BJ25" s="39" t="s">
        <v>42</v>
      </c>
      <c r="BK25" s="39" t="s">
        <v>292</v>
      </c>
      <c r="BL25" s="39" t="s">
        <v>368</v>
      </c>
      <c r="BM25" s="39" t="s">
        <v>370</v>
      </c>
      <c r="BN25" s="47">
        <v>10.465853037726875</v>
      </c>
      <c r="BO25" s="39">
        <v>3.027671059515435</v>
      </c>
      <c r="BP25" s="39"/>
      <c r="BQ25" s="39"/>
      <c r="BR25" s="39"/>
      <c r="BS25" s="39"/>
      <c r="BT25" s="39"/>
      <c r="BU25" s="39"/>
      <c r="BV25" s="52"/>
      <c r="BW25" s="52"/>
      <c r="BX25" s="52"/>
      <c r="BY25" s="52"/>
      <c r="BZ25" s="52"/>
      <c r="CA25" s="52"/>
      <c r="CB25" s="52"/>
      <c r="CC25" s="52"/>
      <c r="CD25" s="52"/>
      <c r="CE25" s="52"/>
      <c r="CF25" s="52"/>
      <c r="CG25" s="52"/>
      <c r="CH25" s="39" t="s">
        <v>42</v>
      </c>
      <c r="CI25" s="39" t="s">
        <v>114</v>
      </c>
      <c r="CJ25" s="39" t="s">
        <v>42</v>
      </c>
      <c r="CK25" s="48">
        <v>0</v>
      </c>
      <c r="CL25" s="48">
        <v>0</v>
      </c>
      <c r="CM25" s="48">
        <v>5.6263472577533384E-2</v>
      </c>
      <c r="CN25" s="48">
        <v>0.91017334598045885</v>
      </c>
      <c r="CO25" s="48">
        <v>1.8616627993359322E-2</v>
      </c>
      <c r="CP25" s="48">
        <v>8.6676372537121751E-3</v>
      </c>
      <c r="CQ25" s="48">
        <v>6.2789161949362042E-3</v>
      </c>
      <c r="CR25" s="39" t="s">
        <v>421</v>
      </c>
      <c r="CS25" s="48">
        <v>5.6263472577533384E-2</v>
      </c>
      <c r="CT25" s="48">
        <v>0.94373652742246661</v>
      </c>
      <c r="CU25" s="39" t="s">
        <v>42</v>
      </c>
      <c r="CV25" s="40"/>
      <c r="CW25" s="40"/>
      <c r="CX25" s="40"/>
      <c r="CY25" s="40"/>
      <c r="CZ25" s="40"/>
      <c r="DA25" s="40"/>
      <c r="DB25" s="40"/>
      <c r="DC25" s="40"/>
      <c r="DD25" s="40"/>
      <c r="DE25" s="40"/>
      <c r="DF25" s="40"/>
      <c r="DG25" s="40"/>
      <c r="DH25" s="74"/>
    </row>
    <row r="26" spans="1:112" x14ac:dyDescent="0.3">
      <c r="A26" s="73">
        <v>1</v>
      </c>
      <c r="B26" s="39" t="s">
        <v>444</v>
      </c>
      <c r="C26" s="39">
        <v>25</v>
      </c>
      <c r="D26" s="39" t="s">
        <v>86</v>
      </c>
      <c r="E26" s="44">
        <v>44267</v>
      </c>
      <c r="F26" s="43">
        <v>0.6333333333333333</v>
      </c>
      <c r="G26" s="39" t="s">
        <v>87</v>
      </c>
      <c r="H26" s="39" t="s">
        <v>145</v>
      </c>
      <c r="I26" s="39">
        <v>6.3</v>
      </c>
      <c r="J26" s="39">
        <v>8.5269999999999992</v>
      </c>
      <c r="K26" s="39">
        <v>101.2</v>
      </c>
      <c r="L26" s="39">
        <v>11.09</v>
      </c>
      <c r="M26" s="39">
        <v>27.6</v>
      </c>
      <c r="N26" s="39">
        <v>16.399999999999999</v>
      </c>
      <c r="O26" s="39" t="s">
        <v>342</v>
      </c>
      <c r="P26" s="39" t="s">
        <v>344</v>
      </c>
      <c r="Q26" s="39" t="s">
        <v>344</v>
      </c>
      <c r="R26" s="39">
        <v>32.5</v>
      </c>
      <c r="S26" s="46" t="s">
        <v>109</v>
      </c>
      <c r="T26" s="46">
        <f>(0.42+0.51+0.41)/3</f>
        <v>0.4466666666666666</v>
      </c>
      <c r="U26" s="47">
        <v>51.372700000000002</v>
      </c>
      <c r="V26" s="39">
        <v>4.051933</v>
      </c>
      <c r="W26" s="39">
        <v>1</v>
      </c>
      <c r="X26" s="39" t="s">
        <v>143</v>
      </c>
      <c r="Y26" s="39">
        <v>1</v>
      </c>
      <c r="Z26" s="40">
        <v>4521.71</v>
      </c>
      <c r="AA26" s="48">
        <v>18.7</v>
      </c>
      <c r="AB26" s="39">
        <v>11.4</v>
      </c>
      <c r="AC26" s="39">
        <v>15.9</v>
      </c>
      <c r="AD26" s="39">
        <v>27.2</v>
      </c>
      <c r="AE26" s="39">
        <v>1.0302</v>
      </c>
      <c r="AF26" s="39">
        <f>0.143*1.23</f>
        <v>0.17588999999999999</v>
      </c>
      <c r="AG26" s="39">
        <v>0.27700000000000002</v>
      </c>
      <c r="AH26" s="39">
        <v>2.3553999999999999</v>
      </c>
      <c r="AI26" s="39">
        <v>0.2782</v>
      </c>
      <c r="AJ26" s="39">
        <v>2.7799999999999998E-2</v>
      </c>
      <c r="AK26" s="39">
        <v>3.7030913012221425</v>
      </c>
      <c r="AL26" s="40" t="s">
        <v>373</v>
      </c>
      <c r="AM26" s="39"/>
      <c r="AN26" s="42">
        <v>8.1</v>
      </c>
      <c r="AO26" s="42">
        <v>13</v>
      </c>
      <c r="AP26" s="42">
        <v>0.2</v>
      </c>
      <c r="AQ26" s="42">
        <v>2.7</v>
      </c>
      <c r="AR26" s="21">
        <v>169.44444440000001</v>
      </c>
      <c r="AS26" s="39">
        <v>1.4731898876839526</v>
      </c>
      <c r="AT26" s="39">
        <v>16.742474587402999</v>
      </c>
      <c r="AU26" s="39" t="s">
        <v>358</v>
      </c>
      <c r="AV26" s="39" t="s">
        <v>356</v>
      </c>
      <c r="AW26" s="48">
        <v>284.06424303743972</v>
      </c>
      <c r="AX26" s="48">
        <v>282.24623188200053</v>
      </c>
      <c r="AY26" s="48">
        <v>2.0574666810431346</v>
      </c>
      <c r="AZ26" s="48">
        <v>2.0442988942844584</v>
      </c>
      <c r="BA26" s="48">
        <v>458.24571721617906</v>
      </c>
      <c r="BB26" s="48">
        <v>455.31294462599539</v>
      </c>
      <c r="BC26" s="50">
        <v>204.92084736603198</v>
      </c>
      <c r="BD26" s="51">
        <v>0.20540060067381655</v>
      </c>
      <c r="BE26" s="51">
        <v>8.1100672703416699E-2</v>
      </c>
      <c r="BF26" s="48">
        <v>2.0574669999999999</v>
      </c>
      <c r="BG26" s="50">
        <v>204.92084736603198</v>
      </c>
      <c r="BH26" s="51">
        <v>0.20540060067381655</v>
      </c>
      <c r="BI26" s="51">
        <v>8.1100672703416699E-2</v>
      </c>
      <c r="BJ26" s="39" t="s">
        <v>35</v>
      </c>
      <c r="BK26" s="39" t="s">
        <v>319</v>
      </c>
      <c r="BL26" s="39" t="s">
        <v>366</v>
      </c>
      <c r="BM26" s="39"/>
      <c r="BN26" s="47">
        <v>10.322055893659565</v>
      </c>
      <c r="BO26" s="39">
        <v>3.9085435261016941</v>
      </c>
      <c r="BP26" s="39"/>
      <c r="BQ26" s="39"/>
      <c r="BR26" s="39"/>
      <c r="BS26" s="39">
        <v>0.97355133762387958</v>
      </c>
      <c r="BT26" s="39">
        <v>5.4807187617581716</v>
      </c>
      <c r="BU26" s="39">
        <v>47.255678001781462</v>
      </c>
      <c r="BV26" s="52"/>
      <c r="BW26" s="52"/>
      <c r="BX26" s="52"/>
      <c r="BY26" s="52">
        <v>0.97355133800000004</v>
      </c>
      <c r="BZ26" s="52">
        <v>5.4807187620000004</v>
      </c>
      <c r="CA26" s="52">
        <v>47.255678000000003</v>
      </c>
      <c r="CB26" s="52"/>
      <c r="CC26" s="52"/>
      <c r="CD26" s="52"/>
      <c r="CE26" s="52"/>
      <c r="CF26" s="52"/>
      <c r="CG26" s="52"/>
      <c r="CH26" s="39" t="s">
        <v>35</v>
      </c>
      <c r="CI26" s="39" t="s">
        <v>35</v>
      </c>
      <c r="CJ26" s="39" t="s">
        <v>35</v>
      </c>
      <c r="CK26" s="48">
        <v>1.2877601392495147E-3</v>
      </c>
      <c r="CL26" s="48">
        <v>0.52353847430360789</v>
      </c>
      <c r="CM26" s="48">
        <v>0.39875612765024954</v>
      </c>
      <c r="CN26" s="48">
        <v>7.9040571586789753E-3</v>
      </c>
      <c r="CO26" s="48">
        <v>4.7004004912757864E-2</v>
      </c>
      <c r="CP26" s="48">
        <v>0</v>
      </c>
      <c r="CQ26" s="48">
        <v>2.1509575835456058E-2</v>
      </c>
      <c r="CR26" s="39" t="s">
        <v>414</v>
      </c>
      <c r="CS26" s="48">
        <v>0.92229460195385737</v>
      </c>
      <c r="CT26" s="48">
        <v>7.6417637906892891E-2</v>
      </c>
      <c r="CU26" s="39" t="s">
        <v>418</v>
      </c>
      <c r="CV26" s="40"/>
      <c r="CW26" s="40"/>
      <c r="CX26" s="40"/>
      <c r="CY26" s="40"/>
      <c r="CZ26" s="40"/>
      <c r="DA26" s="40"/>
      <c r="DB26" s="40"/>
      <c r="DC26" s="40"/>
      <c r="DD26" s="40"/>
      <c r="DE26" s="40"/>
      <c r="DF26" s="40"/>
      <c r="DG26" s="40"/>
      <c r="DH26" s="74"/>
    </row>
    <row r="27" spans="1:112" x14ac:dyDescent="0.3">
      <c r="A27" s="73">
        <v>1</v>
      </c>
      <c r="B27" s="39" t="s">
        <v>444</v>
      </c>
      <c r="C27" s="39">
        <v>26</v>
      </c>
      <c r="D27" s="39" t="s">
        <v>88</v>
      </c>
      <c r="E27" s="44">
        <v>44265</v>
      </c>
      <c r="F27" s="43">
        <v>0.6430555555555556</v>
      </c>
      <c r="G27" s="39" t="s">
        <v>89</v>
      </c>
      <c r="H27" s="39" t="s">
        <v>145</v>
      </c>
      <c r="I27" s="39">
        <v>6.1</v>
      </c>
      <c r="J27" s="39">
        <v>8.5069999999999997</v>
      </c>
      <c r="K27" s="39">
        <v>100.3</v>
      </c>
      <c r="L27" s="39">
        <v>10.98</v>
      </c>
      <c r="M27" s="39">
        <v>31.7</v>
      </c>
      <c r="N27" s="39">
        <v>19.100000000000001</v>
      </c>
      <c r="O27" s="39" t="s">
        <v>342</v>
      </c>
      <c r="P27" s="39" t="s">
        <v>345</v>
      </c>
      <c r="Q27" s="39" t="s">
        <v>345</v>
      </c>
      <c r="R27" s="39">
        <v>34.1</v>
      </c>
      <c r="S27" s="46" t="s">
        <v>109</v>
      </c>
      <c r="T27" s="46">
        <f>(0.42+0.44+0.45)/3</f>
        <v>0.4366666666666667</v>
      </c>
      <c r="U27" s="47">
        <v>51.406790999999998</v>
      </c>
      <c r="V27" s="39">
        <v>3.9727030000000001</v>
      </c>
      <c r="W27" s="39">
        <v>1</v>
      </c>
      <c r="X27" s="39" t="s">
        <v>143</v>
      </c>
      <c r="Y27" s="39">
        <v>2</v>
      </c>
      <c r="Z27" s="40">
        <v>4249.7299999999996</v>
      </c>
      <c r="AA27" s="48">
        <v>0.8</v>
      </c>
      <c r="AB27" s="39">
        <v>13.9</v>
      </c>
      <c r="AC27" s="39">
        <v>6.9</v>
      </c>
      <c r="AD27" s="39">
        <v>20.8</v>
      </c>
      <c r="AE27" s="54">
        <v>0.92556028159999926</v>
      </c>
      <c r="AF27" s="39">
        <v>0.4259</v>
      </c>
      <c r="AG27" s="39">
        <v>2.9499999999999998E-2</v>
      </c>
      <c r="AH27" s="54">
        <v>0.79906542820000048</v>
      </c>
      <c r="AI27" s="39">
        <v>0.28660000000000002</v>
      </c>
      <c r="AJ27" s="39">
        <v>4.500000000000004E-2</v>
      </c>
      <c r="AK27" s="39">
        <v>3.229449691556173</v>
      </c>
      <c r="AL27" s="40" t="s">
        <v>373</v>
      </c>
      <c r="AM27" s="39"/>
      <c r="AN27" s="42">
        <v>9.4</v>
      </c>
      <c r="AO27" s="42">
        <v>10</v>
      </c>
      <c r="AP27" s="42">
        <v>0</v>
      </c>
      <c r="AQ27" s="42">
        <v>1</v>
      </c>
      <c r="AR27" s="21">
        <v>119.44444439999999</v>
      </c>
      <c r="AS27" s="39">
        <v>1.6362205007505031</v>
      </c>
      <c r="AT27" s="39">
        <v>17.033788303013353</v>
      </c>
      <c r="AU27" s="39" t="s">
        <v>358</v>
      </c>
      <c r="AV27" s="39" t="s">
        <v>356</v>
      </c>
      <c r="AW27" s="48">
        <v>508.56262340818029</v>
      </c>
      <c r="AX27" s="48">
        <v>502.62294314894496</v>
      </c>
      <c r="AY27" s="48">
        <v>4.4920760103421253</v>
      </c>
      <c r="AZ27" s="48">
        <v>4.4396114878359185</v>
      </c>
      <c r="BA27" s="48">
        <v>475.14973588509406</v>
      </c>
      <c r="BB27" s="48">
        <v>469.60029639324927</v>
      </c>
      <c r="BC27" s="50">
        <v>2781.7415063922176</v>
      </c>
      <c r="BD27" s="51">
        <v>0.10146344881373753</v>
      </c>
      <c r="BE27" s="51">
        <v>7.0110644937180486E-2</v>
      </c>
      <c r="BF27" s="48">
        <v>4.492076</v>
      </c>
      <c r="BG27" s="50"/>
      <c r="BH27" s="51">
        <v>0.10146344881373753</v>
      </c>
      <c r="BI27" s="51">
        <v>7.0110644937180486E-2</v>
      </c>
      <c r="BJ27" s="39" t="s">
        <v>42</v>
      </c>
      <c r="BK27" s="39" t="s">
        <v>315</v>
      </c>
      <c r="BL27" s="39" t="s">
        <v>368</v>
      </c>
      <c r="BM27" s="39" t="s">
        <v>370</v>
      </c>
      <c r="BN27" s="47">
        <v>10.394930769380034</v>
      </c>
      <c r="BO27" s="39">
        <v>-2.1763285053980099</v>
      </c>
      <c r="BP27" s="39"/>
      <c r="BQ27" s="39"/>
      <c r="BR27" s="39"/>
      <c r="BS27" s="39">
        <v>-4.4262247575616698E-2</v>
      </c>
      <c r="BT27" s="39">
        <v>6.2755470167100942</v>
      </c>
      <c r="BU27" s="39">
        <v>47.475891482878055</v>
      </c>
      <c r="BV27" s="52"/>
      <c r="BW27" s="52"/>
      <c r="BX27" s="52"/>
      <c r="BY27" s="52">
        <v>-4.4262247999999997E-2</v>
      </c>
      <c r="BZ27" s="52">
        <v>6.2755470170000001</v>
      </c>
      <c r="CA27" s="52">
        <v>47.475891480000001</v>
      </c>
      <c r="CB27" s="52"/>
      <c r="CC27" s="52"/>
      <c r="CD27" s="52"/>
      <c r="CE27" s="52"/>
      <c r="CF27" s="52"/>
      <c r="CG27" s="52"/>
      <c r="CH27" s="39" t="s">
        <v>42</v>
      </c>
      <c r="CI27" s="39" t="s">
        <v>35</v>
      </c>
      <c r="CJ27" s="39" t="s">
        <v>42</v>
      </c>
      <c r="CK27" s="48">
        <v>2.1507841482001636E-2</v>
      </c>
      <c r="CL27" s="48">
        <v>0.29707080938714081</v>
      </c>
      <c r="CM27" s="48">
        <v>0.49438812238663649</v>
      </c>
      <c r="CN27" s="48">
        <v>8.9551317326993285E-2</v>
      </c>
      <c r="CO27" s="48">
        <v>8.2977338872290019E-3</v>
      </c>
      <c r="CP27" s="48">
        <v>0</v>
      </c>
      <c r="CQ27" s="48">
        <v>8.9184175529998966E-2</v>
      </c>
      <c r="CR27" s="39" t="s">
        <v>415</v>
      </c>
      <c r="CS27" s="48">
        <v>0.79145893177377724</v>
      </c>
      <c r="CT27" s="48">
        <v>0.18703322674422124</v>
      </c>
      <c r="CU27" s="39" t="s">
        <v>418</v>
      </c>
      <c r="CV27" s="40"/>
      <c r="CW27" s="40"/>
      <c r="CX27" s="40"/>
      <c r="CY27" s="40"/>
      <c r="CZ27" s="40"/>
      <c r="DA27" s="40"/>
      <c r="DB27" s="40"/>
      <c r="DC27" s="40"/>
      <c r="DD27" s="40"/>
      <c r="DE27" s="40"/>
      <c r="DF27" s="40"/>
      <c r="DG27" s="40"/>
      <c r="DH27" s="74"/>
    </row>
    <row r="28" spans="1:112" x14ac:dyDescent="0.3">
      <c r="A28" s="73">
        <v>1</v>
      </c>
      <c r="B28" s="39" t="s">
        <v>444</v>
      </c>
      <c r="C28" s="39">
        <v>27</v>
      </c>
      <c r="D28" s="39" t="s">
        <v>90</v>
      </c>
      <c r="E28" s="44">
        <v>44265</v>
      </c>
      <c r="F28" s="43">
        <v>0.58611111111111114</v>
      </c>
      <c r="G28" s="39" t="s">
        <v>91</v>
      </c>
      <c r="H28" s="39" t="s">
        <v>145</v>
      </c>
      <c r="I28" s="39">
        <v>6.2</v>
      </c>
      <c r="J28" s="39">
        <v>8.5109999999999992</v>
      </c>
      <c r="K28" s="39">
        <v>101.1</v>
      </c>
      <c r="L28" s="39">
        <v>11.03</v>
      </c>
      <c r="M28" s="39">
        <v>32.4</v>
      </c>
      <c r="N28" s="39">
        <v>19.5</v>
      </c>
      <c r="O28" s="39" t="s">
        <v>342</v>
      </c>
      <c r="P28" s="39" t="s">
        <v>345</v>
      </c>
      <c r="Q28" s="39" t="s">
        <v>345</v>
      </c>
      <c r="R28" s="39">
        <v>20.399999999999999</v>
      </c>
      <c r="S28" s="46" t="s">
        <v>109</v>
      </c>
      <c r="T28" s="46">
        <f>(0.35+0.35+0.38)/3</f>
        <v>0.36000000000000004</v>
      </c>
      <c r="U28" s="47">
        <v>51.425567000000001</v>
      </c>
      <c r="V28" s="39">
        <v>3.9172829999999998</v>
      </c>
      <c r="W28" s="39">
        <v>1</v>
      </c>
      <c r="X28" s="39" t="s">
        <v>143</v>
      </c>
      <c r="Y28" s="39">
        <v>2</v>
      </c>
      <c r="Z28" s="40">
        <v>4472.58</v>
      </c>
      <c r="AA28" s="48">
        <v>0.5</v>
      </c>
      <c r="AB28" s="39">
        <v>10.9</v>
      </c>
      <c r="AC28" s="39">
        <v>14.9</v>
      </c>
      <c r="AD28" s="39">
        <v>25.8</v>
      </c>
      <c r="AE28" s="39">
        <v>0.1603</v>
      </c>
      <c r="AF28" s="39">
        <v>0.4854</v>
      </c>
      <c r="AG28" s="39">
        <v>3.1699999999999999E-2</v>
      </c>
      <c r="AH28" s="54">
        <v>0.17304998006</v>
      </c>
      <c r="AI28" s="39">
        <v>0.26979999999999998</v>
      </c>
      <c r="AJ28" s="39">
        <v>3.0000000000000027E-2</v>
      </c>
      <c r="AK28" s="39">
        <v>0.5941438102297999</v>
      </c>
      <c r="AL28" s="40" t="s">
        <v>373</v>
      </c>
      <c r="AM28" s="39"/>
      <c r="AN28" s="42">
        <v>9.3000000000000007</v>
      </c>
      <c r="AO28" s="42">
        <v>10</v>
      </c>
      <c r="AP28" s="42">
        <v>0</v>
      </c>
      <c r="AQ28" s="42">
        <v>1</v>
      </c>
      <c r="AR28" s="21">
        <v>169.44444440000001</v>
      </c>
      <c r="AS28" s="39">
        <v>1.9047892689809267</v>
      </c>
      <c r="AT28" s="39">
        <v>17.084668706179738</v>
      </c>
      <c r="AU28" s="39" t="s">
        <v>358</v>
      </c>
      <c r="AV28" s="39" t="s">
        <v>356</v>
      </c>
      <c r="AW28" s="48">
        <v>285.20571539265404</v>
      </c>
      <c r="AX28" s="48">
        <v>282.07547033081221</v>
      </c>
      <c r="AY28" s="48">
        <v>0.98521910533478962</v>
      </c>
      <c r="AZ28" s="48">
        <v>0.97440593760054384</v>
      </c>
      <c r="BA28" s="48">
        <v>130.42776747810456</v>
      </c>
      <c r="BB28" s="48">
        <v>128.99627135779252</v>
      </c>
      <c r="BC28" s="50">
        <v>102.55638455090526</v>
      </c>
      <c r="BD28" s="51">
        <v>0.19950115017218997</v>
      </c>
      <c r="BE28" s="51">
        <v>4.7768225003201513E-2</v>
      </c>
      <c r="BF28" s="48">
        <v>0.98521899999999996</v>
      </c>
      <c r="BG28" s="50">
        <v>102.55638455090526</v>
      </c>
      <c r="BH28" s="51">
        <v>0.19950115017218997</v>
      </c>
      <c r="BI28" s="51">
        <v>4.7768225003201513E-2</v>
      </c>
      <c r="BJ28" s="39" t="s">
        <v>367</v>
      </c>
      <c r="BK28" s="39" t="s">
        <v>316</v>
      </c>
      <c r="BL28" s="39" t="s">
        <v>368</v>
      </c>
      <c r="BM28" s="39" t="s">
        <v>369</v>
      </c>
      <c r="BN28" s="47" t="s">
        <v>109</v>
      </c>
      <c r="BO28" s="39" t="s">
        <v>109</v>
      </c>
      <c r="BP28" s="39"/>
      <c r="BQ28" s="39"/>
      <c r="BR28" s="39"/>
      <c r="BS28" s="39"/>
      <c r="BT28" s="39"/>
      <c r="BU28" s="39"/>
      <c r="BV28" s="52"/>
      <c r="BW28" s="52"/>
      <c r="BX28" s="52"/>
      <c r="BY28" s="52"/>
      <c r="BZ28" s="52"/>
      <c r="CA28" s="52"/>
      <c r="CB28" s="52"/>
      <c r="CC28" s="52"/>
      <c r="CD28" s="52"/>
      <c r="CE28" s="52"/>
      <c r="CF28" s="52"/>
      <c r="CG28" s="52"/>
      <c r="CH28" s="39" t="s">
        <v>35</v>
      </c>
      <c r="CI28" s="39" t="s">
        <v>50</v>
      </c>
      <c r="CJ28" s="39" t="s">
        <v>50</v>
      </c>
      <c r="CK28" s="48">
        <v>6.3310414988042199E-2</v>
      </c>
      <c r="CL28" s="48">
        <v>0.2287423501622049</v>
      </c>
      <c r="CM28" s="48">
        <v>0.61721459583470761</v>
      </c>
      <c r="CN28" s="48">
        <v>9.5050221596247979E-3</v>
      </c>
      <c r="CO28" s="48">
        <v>6.479686595012088E-2</v>
      </c>
      <c r="CP28" s="48">
        <v>3.9106756839229753E-3</v>
      </c>
      <c r="CQ28" s="48">
        <v>1.2520075221376581E-2</v>
      </c>
      <c r="CR28" s="39" t="s">
        <v>415</v>
      </c>
      <c r="CS28" s="48">
        <v>0.84595694599691251</v>
      </c>
      <c r="CT28" s="48">
        <v>9.0732639015045233E-2</v>
      </c>
      <c r="CU28" s="39" t="s">
        <v>418</v>
      </c>
      <c r="CV28" s="40"/>
      <c r="CW28" s="40"/>
      <c r="CX28" s="40"/>
      <c r="CY28" s="40"/>
      <c r="CZ28" s="40"/>
      <c r="DA28" s="40"/>
      <c r="DB28" s="40"/>
      <c r="DC28" s="40"/>
      <c r="DD28" s="40"/>
      <c r="DE28" s="40"/>
      <c r="DF28" s="40"/>
      <c r="DG28" s="40"/>
      <c r="DH28" s="74"/>
    </row>
    <row r="29" spans="1:112" ht="13.95" customHeight="1" x14ac:dyDescent="0.3">
      <c r="A29" s="73">
        <v>1</v>
      </c>
      <c r="B29" s="39" t="s">
        <v>444</v>
      </c>
      <c r="C29" s="39">
        <v>28</v>
      </c>
      <c r="D29" s="39" t="s">
        <v>105</v>
      </c>
      <c r="E29" s="44">
        <v>44242</v>
      </c>
      <c r="F29" s="43">
        <v>0.54027777777777775</v>
      </c>
      <c r="G29" s="39" t="s">
        <v>92</v>
      </c>
      <c r="H29" s="39" t="s">
        <v>145</v>
      </c>
      <c r="I29" s="39">
        <v>2.8</v>
      </c>
      <c r="J29" s="39">
        <v>8.4139999999999997</v>
      </c>
      <c r="K29" s="39">
        <v>99.7</v>
      </c>
      <c r="L29" s="39">
        <v>12.2</v>
      </c>
      <c r="M29" s="39">
        <v>28</v>
      </c>
      <c r="N29" s="39">
        <v>16.5</v>
      </c>
      <c r="O29" s="39" t="s">
        <v>342</v>
      </c>
      <c r="P29" s="39" t="s">
        <v>344</v>
      </c>
      <c r="Q29" s="39" t="s">
        <v>344</v>
      </c>
      <c r="R29" s="39">
        <v>22.5</v>
      </c>
      <c r="S29" s="46">
        <f>(5.8+5.6+5.3)/3</f>
        <v>5.5666666666666664</v>
      </c>
      <c r="T29" s="46">
        <f>(0.29+0.22+0.26)/3</f>
        <v>0.25666666666666665</v>
      </c>
      <c r="U29" s="47">
        <v>51.340481026710499</v>
      </c>
      <c r="V29" s="39">
        <v>3.8270798438231801</v>
      </c>
      <c r="W29" s="39">
        <v>1</v>
      </c>
      <c r="X29" s="39" t="s">
        <v>143</v>
      </c>
      <c r="Y29" s="39">
        <v>2</v>
      </c>
      <c r="Z29" s="40">
        <v>5142.28</v>
      </c>
      <c r="AA29" s="48">
        <v>5.3500002098083499</v>
      </c>
      <c r="AB29" s="39">
        <v>7.4</v>
      </c>
      <c r="AC29" s="39">
        <v>19.2</v>
      </c>
      <c r="AD29" s="39">
        <v>26.6</v>
      </c>
      <c r="AE29" s="39">
        <v>1.0739000000000001</v>
      </c>
      <c r="AF29" s="39">
        <v>0.55859999999999999</v>
      </c>
      <c r="AG29" s="39">
        <v>1.44E-2</v>
      </c>
      <c r="AH29" s="54">
        <v>0.53963884009999896</v>
      </c>
      <c r="AI29" s="39">
        <v>0.24049999999999999</v>
      </c>
      <c r="AJ29" s="39">
        <v>2.849999999999997E-2</v>
      </c>
      <c r="AK29" s="39">
        <v>4.465280665280666</v>
      </c>
      <c r="AL29" s="40" t="s">
        <v>372</v>
      </c>
      <c r="AM29" s="39"/>
      <c r="AN29" s="39">
        <v>4.3</v>
      </c>
      <c r="AO29" s="39">
        <v>5.36</v>
      </c>
      <c r="AP29" s="39">
        <v>7.0000000000000007E-2</v>
      </c>
      <c r="AQ29" s="39">
        <v>7.35</v>
      </c>
      <c r="AR29" s="21">
        <v>125</v>
      </c>
      <c r="AS29" s="39">
        <v>2.0044130999391157</v>
      </c>
      <c r="AT29" s="39">
        <v>39.644891502990831</v>
      </c>
      <c r="AU29" s="39" t="s">
        <v>357</v>
      </c>
      <c r="AV29" s="39" t="s">
        <v>356</v>
      </c>
      <c r="AW29" s="48">
        <v>226.90305064235579</v>
      </c>
      <c r="AX29" s="48">
        <v>225.67632663455782</v>
      </c>
      <c r="AY29" s="48">
        <v>1.0107292382576927</v>
      </c>
      <c r="AZ29" s="48">
        <v>1.0052648523957832</v>
      </c>
      <c r="BA29" s="48">
        <v>29.397920283414809</v>
      </c>
      <c r="BB29" s="48">
        <v>29.238983969033519</v>
      </c>
      <c r="BC29" s="50">
        <v>178.71995749271127</v>
      </c>
      <c r="BD29" s="51">
        <v>0.24127250738382253</v>
      </c>
      <c r="BE29" s="51">
        <v>4.7392610061964435E-2</v>
      </c>
      <c r="BF29" s="48">
        <v>1.010729</v>
      </c>
      <c r="BG29" s="50">
        <v>178.71995749271127</v>
      </c>
      <c r="BH29" s="51">
        <v>0.24127250738382253</v>
      </c>
      <c r="BI29" s="51">
        <v>4.7392610061964435E-2</v>
      </c>
      <c r="BJ29" s="39" t="s">
        <v>39</v>
      </c>
      <c r="BK29" s="39" t="s">
        <v>109</v>
      </c>
      <c r="BL29" s="39"/>
      <c r="BM29" s="39"/>
      <c r="BN29" s="47">
        <v>10.764636223697467</v>
      </c>
      <c r="BO29" s="39">
        <v>-9.6451633293649568</v>
      </c>
      <c r="BP29" s="39"/>
      <c r="BQ29" s="39"/>
      <c r="BR29" s="39"/>
      <c r="BS29" s="39"/>
      <c r="BT29" s="39"/>
      <c r="BU29" s="39"/>
      <c r="BV29" s="52"/>
      <c r="BW29" s="52"/>
      <c r="BX29" s="52"/>
      <c r="BY29" s="52"/>
      <c r="BZ29" s="52"/>
      <c r="CA29" s="52"/>
      <c r="CB29" s="52"/>
      <c r="CC29" s="52"/>
      <c r="CD29" s="52"/>
      <c r="CE29" s="52"/>
      <c r="CF29" s="52"/>
      <c r="CG29" s="52"/>
      <c r="CH29" s="39" t="s">
        <v>39</v>
      </c>
      <c r="CI29" s="39" t="s">
        <v>35</v>
      </c>
      <c r="CJ29" s="39" t="s">
        <v>39</v>
      </c>
      <c r="CK29" s="48">
        <v>0.63326538220950013</v>
      </c>
      <c r="CL29" s="48">
        <v>2.15831870352459E-2</v>
      </c>
      <c r="CM29" s="48">
        <v>0.20770300583620349</v>
      </c>
      <c r="CN29" s="48">
        <v>8.1683716733683548E-3</v>
      </c>
      <c r="CO29" s="48">
        <v>4.6486398949323195E-2</v>
      </c>
      <c r="CP29" s="48">
        <v>0</v>
      </c>
      <c r="CQ29" s="48">
        <v>8.2793654296358821E-2</v>
      </c>
      <c r="CR29" s="39" t="s">
        <v>420</v>
      </c>
      <c r="CS29" s="48">
        <v>0.22928619287144938</v>
      </c>
      <c r="CT29" s="48">
        <v>0.13744842491905038</v>
      </c>
      <c r="CU29" s="39" t="s">
        <v>420</v>
      </c>
      <c r="CV29" s="40"/>
      <c r="CW29" s="40"/>
      <c r="CX29" s="40"/>
      <c r="CY29" s="40"/>
      <c r="CZ29" s="40"/>
      <c r="DA29" s="40"/>
      <c r="DB29" s="40"/>
      <c r="DC29" s="40"/>
      <c r="DD29" s="40"/>
      <c r="DE29" s="40"/>
      <c r="DF29" s="40"/>
      <c r="DG29" s="40"/>
      <c r="DH29" s="74"/>
    </row>
    <row r="30" spans="1:112" x14ac:dyDescent="0.3">
      <c r="A30" s="73">
        <v>1</v>
      </c>
      <c r="B30" s="39" t="s">
        <v>444</v>
      </c>
      <c r="C30" s="39">
        <v>29</v>
      </c>
      <c r="D30" s="39" t="s">
        <v>93</v>
      </c>
      <c r="E30" s="44">
        <v>44265</v>
      </c>
      <c r="F30" s="43">
        <v>0.42222222222222222</v>
      </c>
      <c r="G30" s="39" t="s">
        <v>94</v>
      </c>
      <c r="H30" s="39" t="s">
        <v>145</v>
      </c>
      <c r="I30" s="39">
        <v>5.8</v>
      </c>
      <c r="J30" s="39">
        <v>8.5020000000000007</v>
      </c>
      <c r="K30" s="39">
        <v>99.7</v>
      </c>
      <c r="L30" s="39">
        <v>10.92</v>
      </c>
      <c r="M30" s="39">
        <v>34.200000000000003</v>
      </c>
      <c r="N30" s="39">
        <v>20.7</v>
      </c>
      <c r="O30" s="39" t="s">
        <v>342</v>
      </c>
      <c r="P30" s="39" t="s">
        <v>345</v>
      </c>
      <c r="Q30" s="39" t="s">
        <v>345</v>
      </c>
      <c r="R30" s="39">
        <v>21.7</v>
      </c>
      <c r="S30" s="46" t="s">
        <v>109</v>
      </c>
      <c r="T30" s="46">
        <f>(0.77+0.78+0.62)/3</f>
        <v>0.72333333333333327</v>
      </c>
      <c r="U30" s="47">
        <v>51.384946334584498</v>
      </c>
      <c r="V30" s="39">
        <v>3.8175649572938801</v>
      </c>
      <c r="W30" s="39">
        <v>1</v>
      </c>
      <c r="X30" s="39" t="s">
        <v>143</v>
      </c>
      <c r="Y30" s="39">
        <v>1</v>
      </c>
      <c r="Z30" s="39">
        <v>4674.99</v>
      </c>
      <c r="AA30" s="48">
        <v>6.6</v>
      </c>
      <c r="AB30" s="39">
        <v>10.4</v>
      </c>
      <c r="AC30" s="39">
        <v>19.399999999999999</v>
      </c>
      <c r="AD30" s="39">
        <v>29.8</v>
      </c>
      <c r="AE30" s="39">
        <v>0.35449999999999998</v>
      </c>
      <c r="AF30" s="39">
        <v>0.53310000000000002</v>
      </c>
      <c r="AG30" s="39">
        <v>3.2000000000000001E-2</v>
      </c>
      <c r="AH30" s="54">
        <v>0.72063982869999954</v>
      </c>
      <c r="AI30" s="39">
        <v>0.30930000000000002</v>
      </c>
      <c r="AJ30" s="39">
        <v>5.1000000000000045E-2</v>
      </c>
      <c r="AK30" s="39">
        <v>1.1461364371160685</v>
      </c>
      <c r="AL30" s="40" t="s">
        <v>372</v>
      </c>
      <c r="AM30" s="39"/>
      <c r="AN30" s="39">
        <v>6.35</v>
      </c>
      <c r="AO30" s="42">
        <v>8</v>
      </c>
      <c r="AP30" s="39">
        <v>0</v>
      </c>
      <c r="AQ30" s="39">
        <v>0.57999999999999996</v>
      </c>
      <c r="AR30" s="21">
        <v>122.2222222</v>
      </c>
      <c r="AS30" s="39">
        <v>2.0787799187700666</v>
      </c>
      <c r="AT30" s="39">
        <v>17.031037479217776</v>
      </c>
      <c r="AU30" s="39" t="s">
        <v>357</v>
      </c>
      <c r="AV30" s="39" t="s">
        <v>356</v>
      </c>
      <c r="AW30" s="48">
        <v>582.30466704298328</v>
      </c>
      <c r="AX30" s="48">
        <v>581.15880812751436</v>
      </c>
      <c r="AY30" s="48">
        <v>17.494590053996859</v>
      </c>
      <c r="AZ30" s="48">
        <v>17.460164205947848</v>
      </c>
      <c r="BA30" s="48">
        <v>457.4860605380332</v>
      </c>
      <c r="BB30" s="48">
        <v>456.58581963178676</v>
      </c>
      <c r="BC30" s="50">
        <v>148.54650035138516</v>
      </c>
      <c r="BD30" s="51">
        <v>0.1931381756172727</v>
      </c>
      <c r="BE30" s="51">
        <v>0.10325816414486706</v>
      </c>
      <c r="BF30" s="48">
        <v>17.494589999999999</v>
      </c>
      <c r="BG30" s="50">
        <v>148.54650035138516</v>
      </c>
      <c r="BH30" s="51">
        <v>0.1931381756172727</v>
      </c>
      <c r="BI30" s="51">
        <v>0.10325816414486706</v>
      </c>
      <c r="BJ30" s="39" t="s">
        <v>367</v>
      </c>
      <c r="BK30" s="39" t="s">
        <v>314</v>
      </c>
      <c r="BL30" s="39" t="s">
        <v>368</v>
      </c>
      <c r="BM30" s="39" t="s">
        <v>370</v>
      </c>
      <c r="BN30" s="47">
        <v>10.39469177806701</v>
      </c>
      <c r="BO30" s="39">
        <v>-2.0747016140188772</v>
      </c>
      <c r="BP30" s="39"/>
      <c r="BQ30" s="39"/>
      <c r="BR30" s="39"/>
      <c r="BS30" s="39">
        <v>0.84812786748609259</v>
      </c>
      <c r="BT30" s="39">
        <v>3.2379066701046764</v>
      </c>
      <c r="BU30" s="39">
        <v>48.84653516266718</v>
      </c>
      <c r="BV30" s="52"/>
      <c r="BW30" s="52"/>
      <c r="BX30" s="52"/>
      <c r="BY30" s="52">
        <v>0.84812786699999998</v>
      </c>
      <c r="BZ30" s="52">
        <v>3.2379066700000001</v>
      </c>
      <c r="CA30" s="52">
        <v>48.846535160000002</v>
      </c>
      <c r="CB30" s="52"/>
      <c r="CC30" s="52"/>
      <c r="CD30" s="52"/>
      <c r="CE30" s="52"/>
      <c r="CF30" s="52"/>
      <c r="CG30" s="52"/>
      <c r="CH30" s="39" t="s">
        <v>39</v>
      </c>
      <c r="CI30" s="39" t="s">
        <v>50</v>
      </c>
      <c r="CJ30" s="39" t="s">
        <v>50</v>
      </c>
      <c r="CK30" s="48">
        <v>4.4802977134984483E-2</v>
      </c>
      <c r="CL30" s="48">
        <v>0.21849876618907058</v>
      </c>
      <c r="CM30" s="48">
        <v>0.51939662996710068</v>
      </c>
      <c r="CN30" s="48">
        <v>7.5305188973481971E-2</v>
      </c>
      <c r="CO30" s="48">
        <v>7.5561889122404663E-2</v>
      </c>
      <c r="CP30" s="48">
        <v>0</v>
      </c>
      <c r="CQ30" s="48">
        <v>6.6434548612957625E-2</v>
      </c>
      <c r="CR30" s="39" t="s">
        <v>415</v>
      </c>
      <c r="CS30" s="48">
        <v>0.73789539615617128</v>
      </c>
      <c r="CT30" s="48">
        <v>0.21730162670884423</v>
      </c>
      <c r="CU30" s="39" t="s">
        <v>418</v>
      </c>
      <c r="CV30" s="40"/>
      <c r="CW30" s="40"/>
      <c r="CX30" s="40"/>
      <c r="CY30" s="40"/>
      <c r="CZ30" s="40"/>
      <c r="DA30" s="40"/>
      <c r="DB30" s="40"/>
      <c r="DC30" s="40"/>
      <c r="DD30" s="40"/>
      <c r="DE30" s="40"/>
      <c r="DF30" s="40"/>
      <c r="DG30" s="40"/>
      <c r="DH30" s="74"/>
    </row>
    <row r="31" spans="1:112" x14ac:dyDescent="0.3">
      <c r="A31" s="73">
        <v>1</v>
      </c>
      <c r="B31" s="39" t="s">
        <v>444</v>
      </c>
      <c r="C31" s="39">
        <v>30</v>
      </c>
      <c r="D31" s="39" t="s">
        <v>95</v>
      </c>
      <c r="E31" s="44">
        <v>44265</v>
      </c>
      <c r="F31" s="43">
        <v>0.46319444444444446</v>
      </c>
      <c r="G31" s="39" t="s">
        <v>96</v>
      </c>
      <c r="H31" s="39" t="s">
        <v>145</v>
      </c>
      <c r="I31" s="39">
        <v>9</v>
      </c>
      <c r="J31" s="39">
        <v>8.4760000000000009</v>
      </c>
      <c r="K31" s="39">
        <v>101.5</v>
      </c>
      <c r="L31" s="39">
        <v>10.19</v>
      </c>
      <c r="M31" s="39">
        <v>36.5</v>
      </c>
      <c r="N31" s="39">
        <v>22.4</v>
      </c>
      <c r="O31" s="39" t="s">
        <v>342</v>
      </c>
      <c r="P31" s="39" t="s">
        <v>345</v>
      </c>
      <c r="Q31" s="39" t="s">
        <v>345</v>
      </c>
      <c r="R31" s="39">
        <v>28.2</v>
      </c>
      <c r="S31" s="46" t="s">
        <v>109</v>
      </c>
      <c r="T31" s="46">
        <f>(0.55+0.43+0.52)/3</f>
        <v>0.5</v>
      </c>
      <c r="U31" s="47">
        <v>51.430808079395597</v>
      </c>
      <c r="V31" s="39">
        <v>3.7100894246952199</v>
      </c>
      <c r="W31" s="39">
        <v>1</v>
      </c>
      <c r="X31" s="39" t="s">
        <v>143</v>
      </c>
      <c r="Y31" s="39">
        <v>1</v>
      </c>
      <c r="Z31" s="40">
        <v>6969.03</v>
      </c>
      <c r="AA31" s="48">
        <v>1.3</v>
      </c>
      <c r="AB31" s="39">
        <v>10</v>
      </c>
      <c r="AC31" s="39">
        <v>17.100000000000001</v>
      </c>
      <c r="AD31" s="39">
        <v>27.2</v>
      </c>
      <c r="AE31" s="54">
        <v>0.79310774589999999</v>
      </c>
      <c r="AF31" s="39">
        <v>0.41789999999999999</v>
      </c>
      <c r="AG31" s="39">
        <v>2.12E-2</v>
      </c>
      <c r="AH31" s="54">
        <v>0.24924174190000059</v>
      </c>
      <c r="AI31" s="39">
        <v>0.29289999999999999</v>
      </c>
      <c r="AJ31" s="39">
        <v>4.049999999999998E-2</v>
      </c>
      <c r="AK31" s="39">
        <v>2.7077765308979176</v>
      </c>
      <c r="AL31" s="40" t="s">
        <v>373</v>
      </c>
      <c r="AM31" s="39"/>
      <c r="AN31" s="42">
        <v>6.6</v>
      </c>
      <c r="AO31" s="42">
        <v>9</v>
      </c>
      <c r="AP31" s="42">
        <v>0</v>
      </c>
      <c r="AQ31" s="42">
        <v>0.7</v>
      </c>
      <c r="AR31" s="21">
        <v>183.33333329999999</v>
      </c>
      <c r="AS31" s="39">
        <v>1.8704139332583931</v>
      </c>
      <c r="AT31" s="39">
        <v>17.086163816074091</v>
      </c>
      <c r="AU31" s="39" t="s">
        <v>358</v>
      </c>
      <c r="AV31" s="39" t="s">
        <v>356</v>
      </c>
      <c r="AW31" s="48">
        <v>1216.3789383678161</v>
      </c>
      <c r="AX31" s="48">
        <v>1226.8143608953687</v>
      </c>
      <c r="AY31" s="48">
        <v>0.90234117656518531</v>
      </c>
      <c r="AZ31" s="48">
        <v>0.91008244135073157</v>
      </c>
      <c r="BA31" s="48">
        <v>174.49166655050499</v>
      </c>
      <c r="BB31" s="48">
        <v>175.98864599544217</v>
      </c>
      <c r="BC31" s="50">
        <v>739.94527487390576</v>
      </c>
      <c r="BD31" s="51">
        <v>0.20877981556176406</v>
      </c>
      <c r="BE31" s="51">
        <v>6.9141520929874231E-2</v>
      </c>
      <c r="BF31" s="48">
        <v>0.90234099999999995</v>
      </c>
      <c r="BG31" s="50"/>
      <c r="BH31" s="51">
        <v>0.20877981556176406</v>
      </c>
      <c r="BI31" s="51">
        <v>6.9141520929874231E-2</v>
      </c>
      <c r="BJ31" s="39" t="s">
        <v>116</v>
      </c>
      <c r="BK31" s="40" t="s">
        <v>317</v>
      </c>
      <c r="BL31" s="39" t="s">
        <v>366</v>
      </c>
      <c r="BM31" s="39"/>
      <c r="BN31" s="47" t="s">
        <v>109</v>
      </c>
      <c r="BO31" s="39" t="s">
        <v>109</v>
      </c>
      <c r="BP31" s="39"/>
      <c r="BQ31" s="39"/>
      <c r="BR31" s="39"/>
      <c r="BS31" s="39">
        <v>1.3210269621650133</v>
      </c>
      <c r="BT31" s="39">
        <v>0.60141580862927846</v>
      </c>
      <c r="BU31" s="39">
        <v>45.685282839167563</v>
      </c>
      <c r="BV31" s="52"/>
      <c r="BW31" s="52"/>
      <c r="BX31" s="52"/>
      <c r="BY31" s="52">
        <v>1.3210269619999999</v>
      </c>
      <c r="BZ31" s="52">
        <v>0.60141580900000002</v>
      </c>
      <c r="CA31" s="52">
        <v>45.685282839999999</v>
      </c>
      <c r="CB31" s="52"/>
      <c r="CC31" s="52"/>
      <c r="CD31" s="52"/>
      <c r="CE31" s="52"/>
      <c r="CF31" s="52"/>
      <c r="CG31" s="52"/>
      <c r="CH31" s="39" t="s">
        <v>39</v>
      </c>
      <c r="CI31" s="39" t="s">
        <v>116</v>
      </c>
      <c r="CJ31" s="39" t="s">
        <v>116</v>
      </c>
      <c r="CK31" s="48">
        <v>0.2545224389020187</v>
      </c>
      <c r="CL31" s="48">
        <v>8.5218645611903981E-2</v>
      </c>
      <c r="CM31" s="48">
        <v>0.39711146173041645</v>
      </c>
      <c r="CN31" s="48">
        <v>1.8696114287223207E-2</v>
      </c>
      <c r="CO31" s="48">
        <v>1.9004079800367051E-2</v>
      </c>
      <c r="CP31" s="48">
        <v>0</v>
      </c>
      <c r="CQ31" s="48">
        <v>0.22544725966807047</v>
      </c>
      <c r="CR31" s="39" t="s">
        <v>415</v>
      </c>
      <c r="CS31" s="48">
        <v>0.4823301073423204</v>
      </c>
      <c r="CT31" s="48">
        <v>0.26314745375566073</v>
      </c>
      <c r="CU31" s="39" t="s">
        <v>418</v>
      </c>
      <c r="CV31" s="40"/>
      <c r="CW31" s="40"/>
      <c r="CX31" s="40"/>
      <c r="CY31" s="40"/>
      <c r="CZ31" s="40"/>
      <c r="DA31" s="40"/>
      <c r="DB31" s="40"/>
      <c r="DC31" s="40"/>
      <c r="DD31" s="40"/>
      <c r="DE31" s="40"/>
      <c r="DF31" s="40"/>
      <c r="DG31" s="40"/>
      <c r="DH31" s="74"/>
    </row>
    <row r="32" spans="1:112" x14ac:dyDescent="0.3">
      <c r="A32" s="73">
        <v>1</v>
      </c>
      <c r="B32" s="39" t="s">
        <v>444</v>
      </c>
      <c r="C32" s="39">
        <v>31</v>
      </c>
      <c r="D32" s="39" t="s">
        <v>115</v>
      </c>
      <c r="E32" s="44">
        <v>44265</v>
      </c>
      <c r="F32" s="43">
        <v>0.50138888888888888</v>
      </c>
      <c r="G32" s="39" t="s">
        <v>97</v>
      </c>
      <c r="H32" s="39" t="s">
        <v>145</v>
      </c>
      <c r="I32" s="39">
        <v>5.9</v>
      </c>
      <c r="J32" s="39">
        <v>8.4960000000000004</v>
      </c>
      <c r="K32" s="39">
        <v>100.8</v>
      </c>
      <c r="L32" s="39">
        <v>10.75</v>
      </c>
      <c r="M32" s="39">
        <v>39.299999999999997</v>
      </c>
      <c r="N32" s="39">
        <v>24.2</v>
      </c>
      <c r="O32" s="39" t="s">
        <v>342</v>
      </c>
      <c r="P32" s="39" t="s">
        <v>345</v>
      </c>
      <c r="Q32" s="39" t="s">
        <v>345</v>
      </c>
      <c r="R32" s="39">
        <v>10.4</v>
      </c>
      <c r="S32" s="46" t="s">
        <v>109</v>
      </c>
      <c r="T32" s="46">
        <f>(0.53+0.52+0.44)/3</f>
        <v>0.49666666666666665</v>
      </c>
      <c r="U32" s="47">
        <v>51.451858425411103</v>
      </c>
      <c r="V32" s="55">
        <v>3.6671922650658102</v>
      </c>
      <c r="W32" s="39">
        <v>1</v>
      </c>
      <c r="X32" s="39" t="s">
        <v>143</v>
      </c>
      <c r="Y32" s="39">
        <v>1</v>
      </c>
      <c r="Z32" s="40">
        <v>8855.74</v>
      </c>
      <c r="AA32" s="48">
        <v>2.5</v>
      </c>
      <c r="AB32" s="39">
        <v>10.3</v>
      </c>
      <c r="AC32" s="39">
        <v>12.3</v>
      </c>
      <c r="AD32" s="39">
        <v>22.6</v>
      </c>
      <c r="AE32" s="54">
        <v>0.66170644759999941</v>
      </c>
      <c r="AF32" s="39">
        <v>0.3841</v>
      </c>
      <c r="AG32" s="39">
        <v>1.5800000000000002E-2</v>
      </c>
      <c r="AH32" s="54">
        <v>0.2499156998</v>
      </c>
      <c r="AI32" s="39">
        <v>0.33829999999999999</v>
      </c>
      <c r="AJ32" s="39">
        <v>3.0000000000000027E-3</v>
      </c>
      <c r="AK32" s="39">
        <v>1.9559753106710005</v>
      </c>
      <c r="AL32" s="40" t="s">
        <v>373</v>
      </c>
      <c r="AM32" s="39"/>
      <c r="AN32" s="40">
        <v>7.7</v>
      </c>
      <c r="AO32" s="40">
        <v>9</v>
      </c>
      <c r="AP32" s="40">
        <v>0</v>
      </c>
      <c r="AQ32" s="40">
        <v>0.7</v>
      </c>
      <c r="AR32" s="22">
        <v>208.33333329999999</v>
      </c>
      <c r="AS32" s="39">
        <v>1.6504531937927505</v>
      </c>
      <c r="AT32" s="39">
        <v>17.087758869115575</v>
      </c>
      <c r="AU32" s="39" t="s">
        <v>358</v>
      </c>
      <c r="AV32" s="39" t="s">
        <v>356</v>
      </c>
      <c r="AW32" s="48">
        <v>390.95900053842644</v>
      </c>
      <c r="AX32" s="48">
        <v>388.45329927095531</v>
      </c>
      <c r="AY32" s="48">
        <v>10.926566858868108</v>
      </c>
      <c r="AZ32" s="48">
        <v>10.856537233281635</v>
      </c>
      <c r="BA32" s="48">
        <v>226.64387270419826</v>
      </c>
      <c r="BB32" s="48">
        <v>225.19128601782626</v>
      </c>
      <c r="BC32" s="50">
        <v>117.73811901114679</v>
      </c>
      <c r="BD32" s="51">
        <v>0.20134919330534995</v>
      </c>
      <c r="BE32" s="51">
        <v>4.1458464431802143E-2</v>
      </c>
      <c r="BF32" s="48">
        <v>10.926567</v>
      </c>
      <c r="BG32" s="50">
        <v>117.73811901114679</v>
      </c>
      <c r="BH32" s="51">
        <v>0.20134919330534995</v>
      </c>
      <c r="BI32" s="51">
        <v>4.1458464431802143E-2</v>
      </c>
      <c r="BJ32" s="39" t="s">
        <v>116</v>
      </c>
      <c r="BK32" s="39" t="s">
        <v>317</v>
      </c>
      <c r="BL32" s="39" t="s">
        <v>366</v>
      </c>
      <c r="BM32" s="39"/>
      <c r="BN32" s="47">
        <v>10.325515540101479</v>
      </c>
      <c r="BO32" s="39">
        <v>-10.766285447063757</v>
      </c>
      <c r="BP32" s="39"/>
      <c r="BQ32" s="39"/>
      <c r="BR32" s="39"/>
      <c r="BS32" s="39">
        <v>-3.0471275923795114</v>
      </c>
      <c r="BT32" s="39">
        <v>8.5788926417768394</v>
      </c>
      <c r="BU32" s="39">
        <v>48.651992700155489</v>
      </c>
      <c r="BV32" s="52"/>
      <c r="BW32" s="52"/>
      <c r="BX32" s="52"/>
      <c r="BY32" s="52">
        <v>-3.0471275919999998</v>
      </c>
      <c r="BZ32" s="52">
        <v>8.5788926419999996</v>
      </c>
      <c r="CA32" s="52">
        <v>48.651992700000001</v>
      </c>
      <c r="CB32" s="52"/>
      <c r="CC32" s="52"/>
      <c r="CD32" s="52"/>
      <c r="CE32" s="52"/>
      <c r="CF32" s="52"/>
      <c r="CG32" s="52"/>
      <c r="CH32" s="39" t="s">
        <v>42</v>
      </c>
      <c r="CI32" s="39" t="s">
        <v>116</v>
      </c>
      <c r="CJ32" s="39" t="s">
        <v>116</v>
      </c>
      <c r="CK32" s="48">
        <v>0.16246464849306366</v>
      </c>
      <c r="CL32" s="48">
        <v>3.6639602511383207E-2</v>
      </c>
      <c r="CM32" s="48">
        <v>0.44899053287024576</v>
      </c>
      <c r="CN32" s="48">
        <v>0.21762258358473011</v>
      </c>
      <c r="CO32" s="48">
        <v>5.8347823838059289E-2</v>
      </c>
      <c r="CP32" s="48">
        <v>4.6552172662921225E-4</v>
      </c>
      <c r="CQ32" s="48">
        <v>7.5469286975888755E-2</v>
      </c>
      <c r="CR32" s="39" t="s">
        <v>415</v>
      </c>
      <c r="CS32" s="48">
        <v>0.48563013538162897</v>
      </c>
      <c r="CT32" s="48">
        <v>0.35190521612530734</v>
      </c>
      <c r="CU32" s="39" t="s">
        <v>418</v>
      </c>
      <c r="CV32" s="40"/>
      <c r="CW32" s="40"/>
      <c r="CX32" s="40"/>
      <c r="CY32" s="40"/>
      <c r="CZ32" s="40"/>
      <c r="DA32" s="40"/>
      <c r="DB32" s="40"/>
      <c r="DC32" s="40"/>
      <c r="DD32" s="40"/>
      <c r="DE32" s="40"/>
      <c r="DF32" s="40"/>
      <c r="DG32" s="40"/>
      <c r="DH32" s="74"/>
    </row>
    <row r="33" spans="1:112" ht="15" thickBot="1" x14ac:dyDescent="0.35">
      <c r="A33" s="73">
        <v>1</v>
      </c>
      <c r="B33" s="39" t="s">
        <v>444</v>
      </c>
      <c r="C33" s="39">
        <v>32</v>
      </c>
      <c r="D33" s="39" t="s">
        <v>98</v>
      </c>
      <c r="E33" s="44">
        <v>44242</v>
      </c>
      <c r="F33" s="43">
        <v>0.46111111111111108</v>
      </c>
      <c r="G33" s="39" t="s">
        <v>99</v>
      </c>
      <c r="H33" s="39" t="s">
        <v>145</v>
      </c>
      <c r="I33" s="39">
        <v>2.9</v>
      </c>
      <c r="J33" s="39">
        <v>8.4169999999999998</v>
      </c>
      <c r="K33" s="39">
        <v>99.9</v>
      </c>
      <c r="L33" s="39">
        <v>11.52</v>
      </c>
      <c r="M33" s="39">
        <v>40.6</v>
      </c>
      <c r="N33" s="39">
        <v>24.8</v>
      </c>
      <c r="O33" s="39" t="s">
        <v>342</v>
      </c>
      <c r="P33" s="39" t="s">
        <v>345</v>
      </c>
      <c r="Q33" s="39" t="s">
        <v>345</v>
      </c>
      <c r="R33" s="39">
        <f>(40+39.7+39.5)/3</f>
        <v>39.733333333333334</v>
      </c>
      <c r="S33" s="46">
        <f>(5.7+6.3+6.7)/3</f>
        <v>6.2333333333333334</v>
      </c>
      <c r="T33" s="46">
        <f>(0.33+0.36+0.37)/3</f>
        <v>0.35333333333333333</v>
      </c>
      <c r="U33" s="47">
        <v>51.401335078610003</v>
      </c>
      <c r="V33" s="39">
        <v>3.5484605608992998</v>
      </c>
      <c r="W33" s="39">
        <v>1</v>
      </c>
      <c r="X33" s="39" t="s">
        <v>144</v>
      </c>
      <c r="Y33" s="39">
        <v>2</v>
      </c>
      <c r="Z33" s="40">
        <v>4645.95</v>
      </c>
      <c r="AA33" s="48">
        <v>1.1999999141693101</v>
      </c>
      <c r="AB33" s="39">
        <v>14.1</v>
      </c>
      <c r="AC33" s="39">
        <v>14.1</v>
      </c>
      <c r="AD33" s="39">
        <v>28.1</v>
      </c>
      <c r="AE33" s="54">
        <v>1.1889672955999986</v>
      </c>
      <c r="AF33" s="39">
        <v>6.4100000000000004E-2</v>
      </c>
      <c r="AG33" s="39">
        <v>1.38E-2</v>
      </c>
      <c r="AH33" s="54">
        <v>0.11804090740000017</v>
      </c>
      <c r="AI33" s="39">
        <v>0.29349999999999998</v>
      </c>
      <c r="AJ33" s="39">
        <v>4.1999999999999899E-2</v>
      </c>
      <c r="AK33" s="39">
        <v>4.0509958964224824</v>
      </c>
      <c r="AL33" s="40" t="s">
        <v>372</v>
      </c>
      <c r="AM33" s="39"/>
      <c r="AN33" s="40">
        <v>3.6</v>
      </c>
      <c r="AO33" s="40">
        <v>11</v>
      </c>
      <c r="AP33" s="40">
        <v>0.9</v>
      </c>
      <c r="AQ33" s="40">
        <v>5.3</v>
      </c>
      <c r="AR33" s="22">
        <v>47.222222219999999</v>
      </c>
      <c r="AS33" s="39">
        <v>1.221715322305809</v>
      </c>
      <c r="AT33" s="39">
        <v>17.119507518808653</v>
      </c>
      <c r="AU33" s="39" t="s">
        <v>358</v>
      </c>
      <c r="AV33" s="39" t="s">
        <v>356</v>
      </c>
      <c r="AW33" s="48">
        <v>50.184384043045206</v>
      </c>
      <c r="AX33" s="48">
        <v>50.057449738329446</v>
      </c>
      <c r="AY33" s="48">
        <v>3.5222162027773907</v>
      </c>
      <c r="AZ33" s="48">
        <v>3.5133072548390185</v>
      </c>
      <c r="BA33" s="48">
        <v>24.563954663310977</v>
      </c>
      <c r="BB33" s="48">
        <v>24.501823612672084</v>
      </c>
      <c r="BC33" s="50">
        <v>88.273894840551563</v>
      </c>
      <c r="BD33" s="51">
        <v>0.20424282953011141</v>
      </c>
      <c r="BE33" s="51">
        <v>3.9827421563780829E-2</v>
      </c>
      <c r="BF33" s="48">
        <v>3.5222159999999998</v>
      </c>
      <c r="BG33" s="50">
        <v>88.273894840551563</v>
      </c>
      <c r="BH33" s="51">
        <v>0.20424282953011141</v>
      </c>
      <c r="BI33" s="51">
        <v>3.9827421563780829E-2</v>
      </c>
      <c r="BJ33" s="39" t="s">
        <v>367</v>
      </c>
      <c r="BK33" s="39" t="s">
        <v>109</v>
      </c>
      <c r="BL33" s="39"/>
      <c r="BM33" s="39"/>
      <c r="BN33" s="47" t="s">
        <v>109</v>
      </c>
      <c r="BO33" s="39" t="s">
        <v>109</v>
      </c>
      <c r="BP33" s="39"/>
      <c r="BQ33" s="39"/>
      <c r="BR33" s="39"/>
      <c r="BS33" s="39"/>
      <c r="BT33" s="39"/>
      <c r="BU33" s="39"/>
      <c r="BV33" s="52"/>
      <c r="BW33" s="52"/>
      <c r="BX33" s="52"/>
      <c r="BY33" s="52"/>
      <c r="BZ33" s="52"/>
      <c r="CA33" s="52"/>
      <c r="CB33" s="52"/>
      <c r="CC33" s="52"/>
      <c r="CD33" s="52"/>
      <c r="CE33" s="52"/>
      <c r="CF33" s="52"/>
      <c r="CG33" s="52"/>
      <c r="CH33" s="39" t="s">
        <v>100</v>
      </c>
      <c r="CI33" s="39" t="s">
        <v>39</v>
      </c>
      <c r="CJ33" s="39" t="s">
        <v>100</v>
      </c>
      <c r="CK33" s="48">
        <v>0.31144313759569214</v>
      </c>
      <c r="CL33" s="48">
        <v>0.11045442367708069</v>
      </c>
      <c r="CM33" s="48">
        <v>0.36923274778056803</v>
      </c>
      <c r="CN33" s="48">
        <v>1.5566425299827217E-2</v>
      </c>
      <c r="CO33" s="48">
        <v>7.1098884710961693E-2</v>
      </c>
      <c r="CP33" s="48">
        <v>0</v>
      </c>
      <c r="CQ33" s="48">
        <v>0.1222043809358703</v>
      </c>
      <c r="CR33" s="39" t="s">
        <v>415</v>
      </c>
      <c r="CS33" s="48">
        <v>0.47968717145764872</v>
      </c>
      <c r="CT33" s="48">
        <v>0.20886969094665919</v>
      </c>
      <c r="CU33" s="39" t="s">
        <v>418</v>
      </c>
      <c r="CV33" s="40"/>
      <c r="CW33" s="40"/>
      <c r="CX33" s="40"/>
      <c r="CY33" s="40"/>
      <c r="CZ33" s="40"/>
      <c r="DA33" s="40"/>
      <c r="DB33" s="40"/>
      <c r="DC33" s="40"/>
      <c r="DD33" s="40"/>
      <c r="DE33" s="40"/>
      <c r="DF33" s="40"/>
      <c r="DG33" s="40"/>
      <c r="DH33" s="74"/>
    </row>
    <row r="34" spans="1:112" x14ac:dyDescent="0.3">
      <c r="A34" s="89">
        <v>2</v>
      </c>
      <c r="B34" s="61" t="s">
        <v>445</v>
      </c>
      <c r="C34" s="61">
        <v>1</v>
      </c>
      <c r="D34" s="60" t="s">
        <v>103</v>
      </c>
      <c r="E34" s="59">
        <v>44424</v>
      </c>
      <c r="F34" s="60">
        <v>0.42291666666666666</v>
      </c>
      <c r="G34" s="61" t="s">
        <v>33</v>
      </c>
      <c r="H34" s="61" t="s">
        <v>34</v>
      </c>
      <c r="I34" s="61">
        <v>19.899999999999999</v>
      </c>
      <c r="J34" s="61">
        <v>7.9210000000000003</v>
      </c>
      <c r="K34" s="61">
        <v>76.5</v>
      </c>
      <c r="L34" s="61">
        <v>6.94</v>
      </c>
      <c r="M34" s="61">
        <v>0.80100000000000005</v>
      </c>
      <c r="N34" s="61">
        <v>0.3</v>
      </c>
      <c r="O34" s="61" t="s">
        <v>341</v>
      </c>
      <c r="P34" s="61" t="s">
        <v>341</v>
      </c>
      <c r="Q34" s="61" t="s">
        <v>341</v>
      </c>
      <c r="R34" s="61">
        <v>19.600000000000001</v>
      </c>
      <c r="S34" s="62" t="s">
        <v>109</v>
      </c>
      <c r="T34" s="62">
        <f>(0.68+0.69+0.7)/3</f>
        <v>0.69000000000000006</v>
      </c>
      <c r="U34" s="63">
        <v>51.004379999999998</v>
      </c>
      <c r="V34" s="61">
        <v>3.80538</v>
      </c>
      <c r="W34" s="61">
        <v>1</v>
      </c>
      <c r="X34" s="61" t="s">
        <v>143</v>
      </c>
      <c r="Y34" s="61">
        <v>2</v>
      </c>
      <c r="Z34" s="64">
        <v>54.14</v>
      </c>
      <c r="AA34" s="65">
        <v>3.3670041537284852</v>
      </c>
      <c r="AB34" s="61">
        <v>4.0999999999999996</v>
      </c>
      <c r="AC34" s="61">
        <v>43.2</v>
      </c>
      <c r="AD34" s="61">
        <v>47.3</v>
      </c>
      <c r="AE34" s="61">
        <v>4.8547000000000002</v>
      </c>
      <c r="AF34" s="61">
        <v>0.36809999999999998</v>
      </c>
      <c r="AG34" s="61">
        <v>0.17610000000000001</v>
      </c>
      <c r="AH34" s="61">
        <v>3.7219000000000002</v>
      </c>
      <c r="AI34" s="61">
        <v>0.46479999999999999</v>
      </c>
      <c r="AJ34" s="61">
        <v>0.17280000000000001</v>
      </c>
      <c r="AK34" s="61">
        <v>10.444707401032703</v>
      </c>
      <c r="AL34" s="64" t="s">
        <v>372</v>
      </c>
      <c r="AM34" s="61" t="s">
        <v>432</v>
      </c>
      <c r="AN34" s="66">
        <v>16</v>
      </c>
      <c r="AO34" s="67">
        <v>4.5999999999999996</v>
      </c>
      <c r="AP34" s="66">
        <v>1.5</v>
      </c>
      <c r="AQ34" s="66">
        <v>3.1</v>
      </c>
      <c r="AR34" s="68">
        <v>63.4</v>
      </c>
      <c r="AS34" s="61">
        <v>3.0558774122882735</v>
      </c>
      <c r="AT34" s="61">
        <v>16.920158671934391</v>
      </c>
      <c r="AU34" s="61" t="s">
        <v>357</v>
      </c>
      <c r="AV34" s="61" t="s">
        <v>356</v>
      </c>
      <c r="AW34" s="65">
        <v>3672.9774466127674</v>
      </c>
      <c r="AX34" s="65">
        <v>3722.5178652252166</v>
      </c>
      <c r="AY34" s="65">
        <v>19.473811298302135</v>
      </c>
      <c r="AZ34" s="65">
        <v>19.736470347457864</v>
      </c>
      <c r="BA34" s="65">
        <v>1610.6376227155772</v>
      </c>
      <c r="BB34" s="65">
        <v>1632.3615954929962</v>
      </c>
      <c r="BC34" s="69">
        <v>130.74942766940066</v>
      </c>
      <c r="BD34" s="70">
        <v>0.91762196711583166</v>
      </c>
      <c r="BE34" s="70">
        <v>0.62167996821771865</v>
      </c>
      <c r="BF34" s="65">
        <v>19.473811000000001</v>
      </c>
      <c r="BG34" s="69">
        <v>130.74942766940066</v>
      </c>
      <c r="BH34" s="70"/>
      <c r="BI34" s="70"/>
      <c r="BJ34" s="61" t="s">
        <v>39</v>
      </c>
      <c r="BK34" s="61" t="s">
        <v>318</v>
      </c>
      <c r="BL34" s="61" t="s">
        <v>366</v>
      </c>
      <c r="BM34" s="61"/>
      <c r="BN34" s="94">
        <v>10.391527092157824</v>
      </c>
      <c r="BO34" s="94">
        <v>5.3177382565203217</v>
      </c>
      <c r="BP34" s="61">
        <v>-6.630346692870221</v>
      </c>
      <c r="BQ34" s="61">
        <v>29.036807841780682</v>
      </c>
      <c r="BR34" s="61">
        <v>38.126746444227543</v>
      </c>
      <c r="BS34" s="61">
        <v>-1.5537627608815905</v>
      </c>
      <c r="BT34" s="61">
        <v>22.92456603279744</v>
      </c>
      <c r="BU34" s="61">
        <v>52.801097035291384</v>
      </c>
      <c r="BV34" s="71"/>
      <c r="BW34" s="71"/>
      <c r="BX34" s="71"/>
      <c r="BY34" s="71"/>
      <c r="BZ34" s="71"/>
      <c r="CA34" s="71"/>
      <c r="CB34" s="71">
        <v>-6.6303466929999999</v>
      </c>
      <c r="CC34" s="71">
        <v>29.036807840000002</v>
      </c>
      <c r="CD34" s="71">
        <v>38.126746439999998</v>
      </c>
      <c r="CE34" s="71">
        <v>-1.553762761</v>
      </c>
      <c r="CF34" s="71">
        <v>22.924566030000001</v>
      </c>
      <c r="CG34" s="71">
        <v>52.801097040000002</v>
      </c>
      <c r="CH34" s="61" t="s">
        <v>35</v>
      </c>
      <c r="CI34" s="61" t="s">
        <v>36</v>
      </c>
      <c r="CJ34" s="61" t="s">
        <v>36</v>
      </c>
      <c r="CK34" s="65">
        <v>0.2278728284152349</v>
      </c>
      <c r="CL34" s="65">
        <v>5.8007010813929061E-2</v>
      </c>
      <c r="CM34" s="65">
        <v>0.32365758518243415</v>
      </c>
      <c r="CN34" s="65">
        <v>3.9576834049396674E-4</v>
      </c>
      <c r="CO34" s="65">
        <v>0.37979545478755855</v>
      </c>
      <c r="CP34" s="65">
        <v>0</v>
      </c>
      <c r="CQ34" s="65">
        <v>1.0271352460349303E-2</v>
      </c>
      <c r="CR34" s="61" t="s">
        <v>416</v>
      </c>
      <c r="CS34" s="65">
        <v>0.38166459599636321</v>
      </c>
      <c r="CT34" s="65">
        <v>0.39046257558840186</v>
      </c>
      <c r="CU34" s="61" t="s">
        <v>42</v>
      </c>
      <c r="CV34" s="64" t="s">
        <v>449</v>
      </c>
      <c r="CW34" s="64" t="s">
        <v>449</v>
      </c>
      <c r="CX34" s="64" t="s">
        <v>449</v>
      </c>
      <c r="CY34" s="64" t="s">
        <v>449</v>
      </c>
      <c r="CZ34" s="64" t="s">
        <v>449</v>
      </c>
      <c r="DA34" s="64" t="s">
        <v>449</v>
      </c>
      <c r="DB34" s="64" t="s">
        <v>449</v>
      </c>
      <c r="DC34" s="64" t="s">
        <v>449</v>
      </c>
      <c r="DD34" s="64" t="s">
        <v>449</v>
      </c>
      <c r="DE34" s="64" t="s">
        <v>449</v>
      </c>
      <c r="DF34" s="64" t="s">
        <v>449</v>
      </c>
      <c r="DG34" s="64" t="s">
        <v>449</v>
      </c>
      <c r="DH34" s="72">
        <v>13.18</v>
      </c>
    </row>
    <row r="35" spans="1:112" x14ac:dyDescent="0.3">
      <c r="A35" s="73">
        <v>2</v>
      </c>
      <c r="B35" s="39" t="s">
        <v>445</v>
      </c>
      <c r="C35" s="39">
        <v>2</v>
      </c>
      <c r="D35" s="39" t="s">
        <v>37</v>
      </c>
      <c r="E35" s="44">
        <v>44424</v>
      </c>
      <c r="F35" s="43">
        <v>0.48125000000000001</v>
      </c>
      <c r="G35" s="39" t="s">
        <v>38</v>
      </c>
      <c r="H35" s="39" t="s">
        <v>34</v>
      </c>
      <c r="I35" s="39">
        <v>20.5</v>
      </c>
      <c r="J35" s="39">
        <v>8</v>
      </c>
      <c r="K35" s="39">
        <v>77.8</v>
      </c>
      <c r="L35" s="39">
        <v>6.99</v>
      </c>
      <c r="M35" s="39">
        <v>0.79600000000000004</v>
      </c>
      <c r="N35" s="39">
        <v>0.3</v>
      </c>
      <c r="O35" s="39" t="s">
        <v>341</v>
      </c>
      <c r="P35" s="39" t="s">
        <v>341</v>
      </c>
      <c r="Q35" s="39" t="s">
        <v>341</v>
      </c>
      <c r="R35" s="39">
        <v>37</v>
      </c>
      <c r="S35" s="46" t="s">
        <v>109</v>
      </c>
      <c r="T35" s="46">
        <f>(0.53+0.49+0.46)/3</f>
        <v>0.49333333333333335</v>
      </c>
      <c r="U35" s="47">
        <v>51.0081621411219</v>
      </c>
      <c r="V35" s="39">
        <v>3.8796790503293299</v>
      </c>
      <c r="W35" s="39">
        <v>1</v>
      </c>
      <c r="X35" s="39" t="s">
        <v>143</v>
      </c>
      <c r="Y35" s="39">
        <v>1</v>
      </c>
      <c r="Z35" s="40">
        <v>56.68</v>
      </c>
      <c r="AA35" s="48">
        <v>5.1339527273178103</v>
      </c>
      <c r="AB35" s="39">
        <v>4.0999999999999996</v>
      </c>
      <c r="AC35" s="39">
        <v>25.8</v>
      </c>
      <c r="AD35" s="39">
        <v>30</v>
      </c>
      <c r="AE35" s="39">
        <v>4.7530000000000001</v>
      </c>
      <c r="AF35" s="39">
        <v>0.1119</v>
      </c>
      <c r="AG35" s="39">
        <v>0.1633</v>
      </c>
      <c r="AH35" s="39">
        <v>3.4485999999999999</v>
      </c>
      <c r="AI35" s="39">
        <v>0.61470000000000002</v>
      </c>
      <c r="AJ35" s="39">
        <v>0.19259999999999999</v>
      </c>
      <c r="AK35" s="39">
        <v>7.7322271026516995</v>
      </c>
      <c r="AL35" s="40" t="s">
        <v>373</v>
      </c>
      <c r="AM35" s="39" t="s">
        <v>432</v>
      </c>
      <c r="AN35" s="49">
        <v>17.399999999999999</v>
      </c>
      <c r="AO35" s="56">
        <v>5.4</v>
      </c>
      <c r="AP35" s="39">
        <v>0</v>
      </c>
      <c r="AQ35" s="39">
        <v>2.73</v>
      </c>
      <c r="AR35" s="20">
        <v>548.1</v>
      </c>
      <c r="AS35" s="39">
        <v>1.9936083854439379</v>
      </c>
      <c r="AT35" s="39">
        <v>16.916321406852145</v>
      </c>
      <c r="AU35" s="39" t="s">
        <v>358</v>
      </c>
      <c r="AV35" s="39" t="s">
        <v>356</v>
      </c>
      <c r="AW35" s="48">
        <v>9540.9605548576728</v>
      </c>
      <c r="AX35" s="48">
        <v>9642.7570708447984</v>
      </c>
      <c r="AY35" s="48">
        <v>41.805634502484992</v>
      </c>
      <c r="AZ35" s="48">
        <v>42.251676378092291</v>
      </c>
      <c r="BA35" s="48">
        <v>2711.8997064169575</v>
      </c>
      <c r="BB35" s="48">
        <v>2740.8341035599374</v>
      </c>
      <c r="BC35" s="50">
        <v>130.18349198975244</v>
      </c>
      <c r="BD35" s="57">
        <v>0.39177403345235207</v>
      </c>
      <c r="BE35" s="57">
        <v>0.49470472368692137</v>
      </c>
      <c r="BF35" s="48">
        <v>41.805635000000002</v>
      </c>
      <c r="BG35" s="50">
        <v>130.18349198975244</v>
      </c>
      <c r="BH35" s="57">
        <v>0.39177403345235207</v>
      </c>
      <c r="BI35" s="39"/>
      <c r="BJ35" s="39" t="s">
        <v>39</v>
      </c>
      <c r="BK35" s="39" t="s">
        <v>318</v>
      </c>
      <c r="BL35" s="39" t="s">
        <v>366</v>
      </c>
      <c r="BM35" s="39"/>
      <c r="BN35" s="93">
        <v>10.853468911148092</v>
      </c>
      <c r="BO35" s="93">
        <v>4.5905398199718084</v>
      </c>
      <c r="BP35" s="39">
        <v>-0.38901680777431402</v>
      </c>
      <c r="BQ35" s="39">
        <v>26.532567477787431</v>
      </c>
      <c r="BR35" s="39">
        <v>36.278550366716956</v>
      </c>
      <c r="BS35" s="39">
        <v>-0.27158263902497026</v>
      </c>
      <c r="BT35" s="39">
        <v>22.320264118233268</v>
      </c>
      <c r="BU35" s="39">
        <v>54.9061079321989</v>
      </c>
      <c r="BV35" s="52"/>
      <c r="BW35" s="52"/>
      <c r="BX35" s="52"/>
      <c r="BY35" s="52"/>
      <c r="BZ35" s="52"/>
      <c r="CA35" s="52"/>
      <c r="CB35" s="52">
        <v>-0.38901680799999999</v>
      </c>
      <c r="CC35" s="52">
        <v>26.532567480000001</v>
      </c>
      <c r="CD35" s="52">
        <v>36.278550369999998</v>
      </c>
      <c r="CE35" s="52">
        <v>-0.27158263900000001</v>
      </c>
      <c r="CF35" s="52">
        <v>22.320264120000001</v>
      </c>
      <c r="CG35" s="52">
        <v>54.906107929999997</v>
      </c>
      <c r="CH35" s="39" t="s">
        <v>39</v>
      </c>
      <c r="CI35" s="39" t="s">
        <v>39</v>
      </c>
      <c r="CJ35" s="39" t="s">
        <v>39</v>
      </c>
      <c r="CK35" s="48">
        <v>0.4537783721016016</v>
      </c>
      <c r="CL35" s="48">
        <v>1.7761548884934558E-2</v>
      </c>
      <c r="CM35" s="48">
        <v>0.2322133097025095</v>
      </c>
      <c r="CN35" s="48">
        <v>0</v>
      </c>
      <c r="CO35" s="48">
        <v>0.29316780535876091</v>
      </c>
      <c r="CP35" s="48">
        <v>0</v>
      </c>
      <c r="CQ35" s="48">
        <v>3.0789639521935806E-3</v>
      </c>
      <c r="CR35" s="39" t="s">
        <v>420</v>
      </c>
      <c r="CS35" s="48">
        <v>0.24997485858744406</v>
      </c>
      <c r="CT35" s="48">
        <v>0.29624676931095451</v>
      </c>
      <c r="CU35" s="39" t="s">
        <v>420</v>
      </c>
      <c r="CV35" s="40" t="s">
        <v>449</v>
      </c>
      <c r="CW35" s="40" t="s">
        <v>449</v>
      </c>
      <c r="CX35" s="40" t="s">
        <v>449</v>
      </c>
      <c r="CY35" s="40" t="s">
        <v>449</v>
      </c>
      <c r="CZ35" s="40" t="s">
        <v>449</v>
      </c>
      <c r="DA35" s="40" t="s">
        <v>449</v>
      </c>
      <c r="DB35" s="40" t="s">
        <v>449</v>
      </c>
      <c r="DC35" s="40" t="s">
        <v>449</v>
      </c>
      <c r="DD35" s="40" t="s">
        <v>449</v>
      </c>
      <c r="DE35" s="40" t="s">
        <v>449</v>
      </c>
      <c r="DF35" s="40" t="s">
        <v>449</v>
      </c>
      <c r="DG35" s="40" t="s">
        <v>449</v>
      </c>
      <c r="DH35" s="74">
        <v>398.41</v>
      </c>
    </row>
    <row r="36" spans="1:112" x14ac:dyDescent="0.3">
      <c r="A36" s="73">
        <v>2</v>
      </c>
      <c r="B36" s="39" t="s">
        <v>445</v>
      </c>
      <c r="C36" s="39">
        <v>3</v>
      </c>
      <c r="D36" s="39" t="s">
        <v>40</v>
      </c>
      <c r="E36" s="44">
        <v>44424</v>
      </c>
      <c r="F36" s="43">
        <v>0.52777777777777779</v>
      </c>
      <c r="G36" s="39" t="s">
        <v>41</v>
      </c>
      <c r="H36" s="39" t="s">
        <v>34</v>
      </c>
      <c r="I36" s="39">
        <v>20.6</v>
      </c>
      <c r="J36" s="39">
        <v>8.1</v>
      </c>
      <c r="K36" s="39">
        <v>85.1</v>
      </c>
      <c r="L36" s="39">
        <v>7.61</v>
      </c>
      <c r="M36" s="39">
        <v>0.76300000000000001</v>
      </c>
      <c r="N36" s="39">
        <v>0.3</v>
      </c>
      <c r="O36" s="39" t="s">
        <v>341</v>
      </c>
      <c r="P36" s="39" t="s">
        <v>341</v>
      </c>
      <c r="Q36" s="39" t="s">
        <v>341</v>
      </c>
      <c r="R36" s="39">
        <v>56</v>
      </c>
      <c r="S36" s="46" t="s">
        <v>109</v>
      </c>
      <c r="T36" s="46">
        <f>(0.58+0.56+0.59)/3</f>
        <v>0.57666666666666666</v>
      </c>
      <c r="U36" s="47">
        <v>51.013137216075798</v>
      </c>
      <c r="V36" s="39">
        <v>3.9307155045057698</v>
      </c>
      <c r="W36" s="39">
        <v>1</v>
      </c>
      <c r="X36" s="39" t="s">
        <v>143</v>
      </c>
      <c r="Y36" s="39">
        <v>2</v>
      </c>
      <c r="Z36" s="40">
        <v>59.53</v>
      </c>
      <c r="AA36" s="48">
        <v>4.1926465511322029</v>
      </c>
      <c r="AB36" s="39">
        <v>3.1</v>
      </c>
      <c r="AC36" s="39">
        <v>43.9</v>
      </c>
      <c r="AD36" s="39">
        <v>47</v>
      </c>
      <c r="AE36" s="40">
        <v>3.8702999999999999</v>
      </c>
      <c r="AF36" s="40">
        <v>5.9700000000000003E-2</v>
      </c>
      <c r="AG36" s="39">
        <v>7.6E-3</v>
      </c>
      <c r="AH36" s="40">
        <v>3.3559999999999999</v>
      </c>
      <c r="AI36" s="39">
        <v>0.50829999999999997</v>
      </c>
      <c r="AJ36" s="39">
        <v>0.17649999999999999</v>
      </c>
      <c r="AK36" s="39">
        <v>7.6142042101121383</v>
      </c>
      <c r="AL36" s="40" t="s">
        <v>373</v>
      </c>
      <c r="AM36" s="39" t="s">
        <v>433</v>
      </c>
      <c r="AN36" s="49">
        <v>17.600000000000001</v>
      </c>
      <c r="AO36" s="56">
        <v>5.4</v>
      </c>
      <c r="AP36" s="39">
        <v>0</v>
      </c>
      <c r="AQ36" s="39">
        <v>2.73</v>
      </c>
      <c r="AR36" s="20">
        <v>393.7</v>
      </c>
      <c r="AS36" s="39">
        <v>2.2339687288953862</v>
      </c>
      <c r="AT36" s="39">
        <v>16.991706138218902</v>
      </c>
      <c r="AU36" s="39" t="s">
        <v>357</v>
      </c>
      <c r="AV36" s="39" t="s">
        <v>356</v>
      </c>
      <c r="AW36" s="48">
        <v>5465.8106707858778</v>
      </c>
      <c r="AX36" s="48">
        <v>5522.2076854457491</v>
      </c>
      <c r="AY36" s="48">
        <v>5.3434241698631828</v>
      </c>
      <c r="AZ36" s="48">
        <v>5.3985583831377806</v>
      </c>
      <c r="BA36" s="48">
        <v>1274.0781253117912</v>
      </c>
      <c r="BB36" s="48">
        <v>1287.2242452634173</v>
      </c>
      <c r="BC36" s="50">
        <v>119.68690867783256</v>
      </c>
      <c r="BD36" s="57">
        <v>0.27803554773929495</v>
      </c>
      <c r="BE36" s="57">
        <v>0.15243569537916984</v>
      </c>
      <c r="BF36" s="48">
        <v>5.3434239999999997</v>
      </c>
      <c r="BG36" s="50">
        <v>119.68690867783256</v>
      </c>
      <c r="BH36" s="57">
        <v>0.27803554773929495</v>
      </c>
      <c r="BI36" s="57">
        <v>0.15243569537916984</v>
      </c>
      <c r="BJ36" s="39" t="s">
        <v>39</v>
      </c>
      <c r="BK36" s="39" t="s">
        <v>318</v>
      </c>
      <c r="BL36" s="39" t="s">
        <v>366</v>
      </c>
      <c r="BM36" s="39"/>
      <c r="BN36" s="93">
        <v>10.885140441749893</v>
      </c>
      <c r="BO36" s="93">
        <v>2.7160509598959508</v>
      </c>
      <c r="BP36" s="39">
        <v>-2.0453653760567105</v>
      </c>
      <c r="BQ36" s="39">
        <v>19.609736720808172</v>
      </c>
      <c r="BR36" s="39">
        <v>43.516839512113421</v>
      </c>
      <c r="BS36" s="39">
        <v>2.0069461383691891</v>
      </c>
      <c r="BT36" s="39">
        <v>22.574301025627385</v>
      </c>
      <c r="BU36" s="39">
        <v>55.760917219652633</v>
      </c>
      <c r="BV36" s="52"/>
      <c r="BW36" s="52"/>
      <c r="BX36" s="52"/>
      <c r="BY36" s="52"/>
      <c r="BZ36" s="52"/>
      <c r="CA36" s="52"/>
      <c r="CB36" s="52">
        <v>-2.0453653759999999</v>
      </c>
      <c r="CC36" s="52">
        <v>19.609736720000001</v>
      </c>
      <c r="CD36" s="52">
        <v>43.516839509999997</v>
      </c>
      <c r="CE36" s="52">
        <v>2.006946138</v>
      </c>
      <c r="CF36" s="52">
        <v>22.574301030000001</v>
      </c>
      <c r="CG36" s="52">
        <v>55.760917220000003</v>
      </c>
      <c r="CH36" s="39" t="s">
        <v>42</v>
      </c>
      <c r="CI36" s="39" t="s">
        <v>39</v>
      </c>
      <c r="CJ36" s="39" t="s">
        <v>39</v>
      </c>
      <c r="CK36" s="48">
        <v>0.16672594840363414</v>
      </c>
      <c r="CL36" s="48">
        <v>6.0302201982870098E-2</v>
      </c>
      <c r="CM36" s="48">
        <v>0.52682758109822803</v>
      </c>
      <c r="CN36" s="48">
        <v>1.4191673567569327E-2</v>
      </c>
      <c r="CO36" s="48">
        <v>0.21725905681238183</v>
      </c>
      <c r="CP36" s="48">
        <v>5.0419488021876291E-4</v>
      </c>
      <c r="CQ36" s="48">
        <v>1.4189343255097726E-2</v>
      </c>
      <c r="CR36" s="39" t="s">
        <v>415</v>
      </c>
      <c r="CS36" s="48">
        <v>0.58712978308109809</v>
      </c>
      <c r="CT36" s="48">
        <v>0.24614426851526766</v>
      </c>
      <c r="CU36" s="39" t="s">
        <v>418</v>
      </c>
      <c r="CV36" s="40" t="s">
        <v>449</v>
      </c>
      <c r="CW36" s="40" t="s">
        <v>449</v>
      </c>
      <c r="CX36" s="40" t="s">
        <v>449</v>
      </c>
      <c r="CY36" s="40" t="s">
        <v>449</v>
      </c>
      <c r="CZ36" s="40" t="s">
        <v>449</v>
      </c>
      <c r="DA36" s="40" t="s">
        <v>449</v>
      </c>
      <c r="DB36" s="40" t="s">
        <v>449</v>
      </c>
      <c r="DC36" s="40" t="s">
        <v>449</v>
      </c>
      <c r="DD36" s="40" t="s">
        <v>449</v>
      </c>
      <c r="DE36" s="40" t="s">
        <v>449</v>
      </c>
      <c r="DF36" s="40" t="s">
        <v>449</v>
      </c>
      <c r="DG36" s="40" t="s">
        <v>449</v>
      </c>
      <c r="DH36" s="74">
        <v>95.15</v>
      </c>
    </row>
    <row r="37" spans="1:112" x14ac:dyDescent="0.3">
      <c r="A37" s="73">
        <v>2</v>
      </c>
      <c r="B37" s="39" t="s">
        <v>445</v>
      </c>
      <c r="C37" s="39">
        <v>4</v>
      </c>
      <c r="D37" s="39" t="s">
        <v>43</v>
      </c>
      <c r="E37" s="44">
        <v>44424</v>
      </c>
      <c r="F37" s="43">
        <v>0.58333333333333337</v>
      </c>
      <c r="G37" s="39" t="s">
        <v>44</v>
      </c>
      <c r="H37" s="39" t="s">
        <v>34</v>
      </c>
      <c r="I37" s="39">
        <v>20.6</v>
      </c>
      <c r="J37" s="39">
        <v>8.1310000000000002</v>
      </c>
      <c r="K37" s="39">
        <v>89</v>
      </c>
      <c r="L37" s="39">
        <v>8</v>
      </c>
      <c r="M37" s="39">
        <v>0.748</v>
      </c>
      <c r="N37" s="39">
        <v>0.3</v>
      </c>
      <c r="O37" s="39" t="s">
        <v>341</v>
      </c>
      <c r="P37" s="39" t="s">
        <v>341</v>
      </c>
      <c r="Q37" s="39" t="s">
        <v>341</v>
      </c>
      <c r="R37" s="39">
        <v>45</v>
      </c>
      <c r="S37" s="46" t="s">
        <v>109</v>
      </c>
      <c r="T37" s="46" t="s">
        <v>109</v>
      </c>
      <c r="U37" s="47">
        <v>51.015227351682299</v>
      </c>
      <c r="V37" s="39">
        <v>3.9737124871890899</v>
      </c>
      <c r="W37" s="39">
        <v>1</v>
      </c>
      <c r="X37" s="39" t="s">
        <v>143</v>
      </c>
      <c r="Y37" s="39">
        <v>1</v>
      </c>
      <c r="Z37" s="40">
        <v>72.19</v>
      </c>
      <c r="AA37" s="48">
        <v>3.7972520852088927</v>
      </c>
      <c r="AB37" s="39">
        <v>5.6</v>
      </c>
      <c r="AC37" s="39">
        <v>34.200000000000003</v>
      </c>
      <c r="AD37" s="39">
        <v>39.9</v>
      </c>
      <c r="AE37" s="39">
        <v>4.1515000000000004</v>
      </c>
      <c r="AF37" s="39">
        <v>6.7400000000000002E-2</v>
      </c>
      <c r="AG37" s="39">
        <v>2E-3</v>
      </c>
      <c r="AH37" s="39">
        <v>2.1783999999999999</v>
      </c>
      <c r="AI37" s="39">
        <v>0.50700000000000001</v>
      </c>
      <c r="AJ37" s="39">
        <v>0.1646</v>
      </c>
      <c r="AK37" s="39">
        <v>8.1883629191321514</v>
      </c>
      <c r="AL37" s="40" t="s">
        <v>373</v>
      </c>
      <c r="AM37" s="39" t="s">
        <v>433</v>
      </c>
      <c r="AN37" s="49">
        <v>16.8</v>
      </c>
      <c r="AO37" s="56">
        <v>4.8</v>
      </c>
      <c r="AP37" s="39">
        <v>0</v>
      </c>
      <c r="AQ37" s="39">
        <v>4.0999999999999996</v>
      </c>
      <c r="AR37" s="20">
        <v>225.9</v>
      </c>
      <c r="AS37" s="39">
        <v>1.9148204245243943</v>
      </c>
      <c r="AT37" s="39">
        <v>22.221606378319386</v>
      </c>
      <c r="AU37" s="39" t="s">
        <v>358</v>
      </c>
      <c r="AV37" s="39" t="s">
        <v>356</v>
      </c>
      <c r="AW37" s="48">
        <v>6664.9084841510785</v>
      </c>
      <c r="AX37" s="48">
        <v>6752.2568277957535</v>
      </c>
      <c r="AY37" s="48">
        <v>8.9808479163910473</v>
      </c>
      <c r="AZ37" s="48">
        <v>9.0985482857039859</v>
      </c>
      <c r="BA37" s="48">
        <v>1378.7708156629135</v>
      </c>
      <c r="BB37" s="48">
        <v>1396.8405832073829</v>
      </c>
      <c r="BC37" s="50">
        <v>125.9476539996743</v>
      </c>
      <c r="BD37" s="57">
        <v>0.31404636752187121</v>
      </c>
      <c r="BE37" s="57">
        <v>6.8917662018033524E-2</v>
      </c>
      <c r="BF37" s="48">
        <v>8.9808479999999999</v>
      </c>
      <c r="BG37" s="50">
        <v>125.9476539996743</v>
      </c>
      <c r="BH37" s="57">
        <v>0.31404636752187121</v>
      </c>
      <c r="BI37" s="57">
        <v>6.8917662018033524E-2</v>
      </c>
      <c r="BJ37" s="39" t="s">
        <v>42</v>
      </c>
      <c r="BK37" s="39" t="s">
        <v>317</v>
      </c>
      <c r="BL37" s="39" t="s">
        <v>366</v>
      </c>
      <c r="BM37" s="39"/>
      <c r="BN37" s="93">
        <v>10.846382148410234</v>
      </c>
      <c r="BO37" s="93">
        <v>3.4778359030352983</v>
      </c>
      <c r="BP37" s="39">
        <v>2.6769317625725182</v>
      </c>
      <c r="BQ37" s="39">
        <v>18.17528248274758</v>
      </c>
      <c r="BR37" s="39">
        <v>41.474571608093001</v>
      </c>
      <c r="BS37" s="39">
        <v>1.4574025512430211</v>
      </c>
      <c r="BT37" s="39">
        <v>24.124558417861774</v>
      </c>
      <c r="BU37" s="39">
        <v>61.296877745680924</v>
      </c>
      <c r="BV37" s="52"/>
      <c r="BW37" s="52"/>
      <c r="BX37" s="52"/>
      <c r="BY37" s="52"/>
      <c r="BZ37" s="52"/>
      <c r="CA37" s="52"/>
      <c r="CB37" s="52">
        <v>2.6769317629999998</v>
      </c>
      <c r="CC37" s="52">
        <v>18.17528248</v>
      </c>
      <c r="CD37" s="52">
        <v>41.474571609999998</v>
      </c>
      <c r="CE37" s="52">
        <v>1.4574025509999999</v>
      </c>
      <c r="CF37" s="52">
        <v>24.12455842</v>
      </c>
      <c r="CG37" s="52">
        <v>61.29687775</v>
      </c>
      <c r="CH37" s="39" t="s">
        <v>35</v>
      </c>
      <c r="CI37" s="39" t="s">
        <v>42</v>
      </c>
      <c r="CJ37" s="39" t="s">
        <v>42</v>
      </c>
      <c r="CK37" s="48">
        <v>9.024779571113499E-2</v>
      </c>
      <c r="CL37" s="48">
        <v>4.8426030973230054E-2</v>
      </c>
      <c r="CM37" s="48">
        <v>0.54936720870911904</v>
      </c>
      <c r="CN37" s="48">
        <v>3.3004388283090512E-2</v>
      </c>
      <c r="CO37" s="48">
        <v>0.27143775110933538</v>
      </c>
      <c r="CP37" s="48">
        <v>2.8176768596833106E-4</v>
      </c>
      <c r="CQ37" s="48">
        <v>7.235057528121717E-3</v>
      </c>
      <c r="CR37" s="39" t="s">
        <v>415</v>
      </c>
      <c r="CS37" s="48">
        <v>0.5977932396823491</v>
      </c>
      <c r="CT37" s="48">
        <v>0.3119589646065159</v>
      </c>
      <c r="CU37" s="39" t="s">
        <v>418</v>
      </c>
      <c r="CV37" s="40" t="s">
        <v>449</v>
      </c>
      <c r="CW37" s="40" t="s">
        <v>0</v>
      </c>
      <c r="CX37" s="40" t="s">
        <v>449</v>
      </c>
      <c r="CY37" s="40" t="s">
        <v>449</v>
      </c>
      <c r="CZ37" s="40" t="s">
        <v>449</v>
      </c>
      <c r="DA37" s="40" t="s">
        <v>449</v>
      </c>
      <c r="DB37" s="40" t="s">
        <v>449</v>
      </c>
      <c r="DC37" s="40" t="s">
        <v>449</v>
      </c>
      <c r="DD37" s="40" t="s">
        <v>449</v>
      </c>
      <c r="DE37" s="40" t="s">
        <v>0</v>
      </c>
      <c r="DF37" s="40" t="s">
        <v>449</v>
      </c>
      <c r="DG37" s="40" t="s">
        <v>449</v>
      </c>
      <c r="DH37" s="74">
        <v>255.76</v>
      </c>
    </row>
    <row r="38" spans="1:112" x14ac:dyDescent="0.3">
      <c r="A38" s="73">
        <v>2</v>
      </c>
      <c r="B38" s="39" t="s">
        <v>445</v>
      </c>
      <c r="C38" s="39">
        <v>5</v>
      </c>
      <c r="D38" s="39" t="s">
        <v>45</v>
      </c>
      <c r="E38" s="44">
        <v>44424</v>
      </c>
      <c r="F38" s="43">
        <v>0.63888888888888895</v>
      </c>
      <c r="G38" s="39" t="s">
        <v>46</v>
      </c>
      <c r="H38" s="39" t="s">
        <v>34</v>
      </c>
      <c r="I38" s="39">
        <v>20.6</v>
      </c>
      <c r="J38" s="39">
        <v>8.14</v>
      </c>
      <c r="K38" s="39">
        <v>88.1</v>
      </c>
      <c r="L38" s="39">
        <v>7.92</v>
      </c>
      <c r="M38" s="39">
        <v>0.747</v>
      </c>
      <c r="N38" s="39">
        <v>0.3</v>
      </c>
      <c r="O38" s="39" t="s">
        <v>341</v>
      </c>
      <c r="P38" s="39" t="s">
        <v>341</v>
      </c>
      <c r="Q38" s="39" t="s">
        <v>341</v>
      </c>
      <c r="R38" s="39">
        <v>98</v>
      </c>
      <c r="S38" s="46" t="s">
        <v>109</v>
      </c>
      <c r="T38" s="46">
        <f>(0.53+0.61+0.58)/3</f>
        <v>0.57333333333333336</v>
      </c>
      <c r="U38" s="47">
        <v>51.028756000000001</v>
      </c>
      <c r="V38" s="39">
        <v>4.0412039999999996</v>
      </c>
      <c r="W38" s="39">
        <v>1</v>
      </c>
      <c r="X38" s="39" t="s">
        <v>143</v>
      </c>
      <c r="Y38" s="39">
        <v>2</v>
      </c>
      <c r="Z38" s="40">
        <v>84.78</v>
      </c>
      <c r="AA38" s="48">
        <v>8.68239076614379</v>
      </c>
      <c r="AB38" s="39">
        <v>4.5</v>
      </c>
      <c r="AC38" s="39">
        <v>30</v>
      </c>
      <c r="AD38" s="39">
        <v>34.5</v>
      </c>
      <c r="AE38" s="39">
        <v>4.2306999999999997</v>
      </c>
      <c r="AF38" s="39">
        <v>1.06E-2</v>
      </c>
      <c r="AG38" s="39">
        <v>2E-3</v>
      </c>
      <c r="AH38" s="39">
        <v>2.1711999999999998</v>
      </c>
      <c r="AI38" s="39">
        <v>0.56850000000000001</v>
      </c>
      <c r="AJ38" s="39">
        <v>0.15240000000000001</v>
      </c>
      <c r="AK38" s="39">
        <v>7.4418645558487242</v>
      </c>
      <c r="AL38" s="40" t="s">
        <v>372</v>
      </c>
      <c r="AM38" s="39" t="s">
        <v>433</v>
      </c>
      <c r="AN38" s="39">
        <v>17.8</v>
      </c>
      <c r="AO38" s="39">
        <v>2.63</v>
      </c>
      <c r="AP38" s="39">
        <v>0</v>
      </c>
      <c r="AQ38" s="39">
        <v>4.0999999999999996</v>
      </c>
      <c r="AR38" s="20">
        <v>248.5</v>
      </c>
      <c r="AS38" s="39">
        <v>1.5578583553643712</v>
      </c>
      <c r="AT38" s="39">
        <v>22.570288307241132</v>
      </c>
      <c r="AU38" s="39" t="s">
        <v>358</v>
      </c>
      <c r="AV38" s="39" t="s">
        <v>356</v>
      </c>
      <c r="AW38" s="48">
        <v>3375.7243068768653</v>
      </c>
      <c r="AX38" s="48">
        <v>3408.2110848773978</v>
      </c>
      <c r="AY38" s="48">
        <v>3.4014005260171345</v>
      </c>
      <c r="AZ38" s="48">
        <v>3.4341344028786156</v>
      </c>
      <c r="BA38" s="48">
        <v>581.35248639717929</v>
      </c>
      <c r="BB38" s="48">
        <v>586.94721731971606</v>
      </c>
      <c r="BC38" s="50">
        <v>68.123836693586156</v>
      </c>
      <c r="BD38" s="57">
        <v>0.21357470157428879</v>
      </c>
      <c r="BE38" s="57">
        <v>3.9108135827788597E-2</v>
      </c>
      <c r="BF38" s="48">
        <v>3.4014009999999999</v>
      </c>
      <c r="BG38" s="50">
        <v>68.123836693586156</v>
      </c>
      <c r="BH38" s="57">
        <v>0.21357470157428879</v>
      </c>
      <c r="BI38" s="57">
        <v>3.9108135827788597E-2</v>
      </c>
      <c r="BJ38" s="39" t="s">
        <v>42</v>
      </c>
      <c r="BK38" s="39" t="s">
        <v>319</v>
      </c>
      <c r="BL38" s="39" t="s">
        <v>366</v>
      </c>
      <c r="BM38" s="39"/>
      <c r="BN38" s="93">
        <v>10.948977992380053</v>
      </c>
      <c r="BO38" s="93">
        <v>3.331848121669903</v>
      </c>
      <c r="BP38" s="39">
        <v>4.0186959880741702</v>
      </c>
      <c r="BQ38" s="39">
        <v>17.614726454675129</v>
      </c>
      <c r="BR38" s="39">
        <v>43.454554980174898</v>
      </c>
      <c r="BS38" s="39">
        <v>0.75726859249693668</v>
      </c>
      <c r="BT38" s="39">
        <v>26.554063263750599</v>
      </c>
      <c r="BU38" s="39">
        <v>66.868727784554579</v>
      </c>
      <c r="BV38" s="52"/>
      <c r="BW38" s="52"/>
      <c r="BX38" s="52"/>
      <c r="BY38" s="52"/>
      <c r="BZ38" s="52"/>
      <c r="CA38" s="52"/>
      <c r="CB38" s="52">
        <v>4.0186959880000002</v>
      </c>
      <c r="CC38" s="52">
        <v>17.614726449999999</v>
      </c>
      <c r="CD38" s="52">
        <v>43.454554979999997</v>
      </c>
      <c r="CE38" s="52">
        <v>0.75726859199999996</v>
      </c>
      <c r="CF38" s="52">
        <v>26.55406326</v>
      </c>
      <c r="CG38" s="52">
        <v>66.86872778</v>
      </c>
      <c r="CH38" s="39" t="s">
        <v>35</v>
      </c>
      <c r="CI38" s="39" t="s">
        <v>47</v>
      </c>
      <c r="CJ38" s="39" t="s">
        <v>47</v>
      </c>
      <c r="CK38" s="48">
        <v>0.11361849900991729</v>
      </c>
      <c r="CL38" s="48">
        <v>7.7636768149933505E-2</v>
      </c>
      <c r="CM38" s="48">
        <v>0.64051942278622265</v>
      </c>
      <c r="CN38" s="48">
        <v>5.5243300522182775E-5</v>
      </c>
      <c r="CO38" s="48">
        <v>0.16528391120834562</v>
      </c>
      <c r="CP38" s="48">
        <v>0</v>
      </c>
      <c r="CQ38" s="48">
        <v>2.8861555450589208E-3</v>
      </c>
      <c r="CR38" s="39" t="s">
        <v>415</v>
      </c>
      <c r="CS38" s="48">
        <v>0.71815619093615612</v>
      </c>
      <c r="CT38" s="48">
        <v>0.16822531005392671</v>
      </c>
      <c r="CU38" s="39" t="s">
        <v>418</v>
      </c>
      <c r="CV38" s="40" t="s">
        <v>0</v>
      </c>
      <c r="CW38" s="40" t="s">
        <v>0</v>
      </c>
      <c r="CX38" s="40" t="s">
        <v>0</v>
      </c>
      <c r="CY38" s="40" t="s">
        <v>0</v>
      </c>
      <c r="CZ38" s="40" t="s">
        <v>0</v>
      </c>
      <c r="DA38" s="40" t="s">
        <v>0</v>
      </c>
      <c r="DB38" s="40" t="s">
        <v>0</v>
      </c>
      <c r="DC38" s="40" t="s">
        <v>0</v>
      </c>
      <c r="DD38" s="40" t="s">
        <v>0</v>
      </c>
      <c r="DE38" s="40" t="s">
        <v>0</v>
      </c>
      <c r="DF38" s="40" t="s">
        <v>0</v>
      </c>
      <c r="DG38" s="40" t="s">
        <v>0</v>
      </c>
      <c r="DH38" s="74">
        <v>2581</v>
      </c>
    </row>
    <row r="39" spans="1:112" x14ac:dyDescent="0.3">
      <c r="A39" s="73">
        <v>2</v>
      </c>
      <c r="B39" s="39" t="s">
        <v>445</v>
      </c>
      <c r="C39" s="39">
        <v>6</v>
      </c>
      <c r="D39" s="39" t="s">
        <v>48</v>
      </c>
      <c r="E39" s="44">
        <v>44425</v>
      </c>
      <c r="F39" s="43">
        <v>0.67499999999999993</v>
      </c>
      <c r="G39" s="39" t="s">
        <v>49</v>
      </c>
      <c r="H39" s="39" t="s">
        <v>34</v>
      </c>
      <c r="I39" s="39">
        <v>19.7</v>
      </c>
      <c r="J39" s="39">
        <v>8.1389999999999993</v>
      </c>
      <c r="K39" s="39">
        <v>81.099999999999994</v>
      </c>
      <c r="L39" s="39">
        <v>7.43</v>
      </c>
      <c r="M39" s="39">
        <v>0.751</v>
      </c>
      <c r="N39" s="39">
        <v>0.3</v>
      </c>
      <c r="O39" s="39" t="s">
        <v>341</v>
      </c>
      <c r="P39" s="39" t="s">
        <v>341</v>
      </c>
      <c r="Q39" s="39" t="s">
        <v>341</v>
      </c>
      <c r="R39" s="39">
        <v>50.9</v>
      </c>
      <c r="S39" s="46" t="s">
        <v>109</v>
      </c>
      <c r="T39" s="46">
        <f>(0.39+0.43+0.44)/3</f>
        <v>0.42</v>
      </c>
      <c r="U39" s="47">
        <v>51.033887898573298</v>
      </c>
      <c r="V39" s="39">
        <v>4.1039823022648196</v>
      </c>
      <c r="W39" s="39">
        <v>1</v>
      </c>
      <c r="X39" s="39" t="s">
        <v>143</v>
      </c>
      <c r="Y39" s="39">
        <v>1</v>
      </c>
      <c r="Z39" s="40">
        <v>96.44</v>
      </c>
      <c r="AA39" s="48">
        <v>2.422863740921021</v>
      </c>
      <c r="AB39" s="39">
        <v>5.8</v>
      </c>
      <c r="AC39" s="39">
        <v>14.4</v>
      </c>
      <c r="AD39" s="39">
        <v>20.100000000000001</v>
      </c>
      <c r="AE39" s="39">
        <v>3.9864999999999999</v>
      </c>
      <c r="AF39" s="39">
        <v>4.0399999999999998E-2</v>
      </c>
      <c r="AG39" s="39">
        <v>7.0000000000000001E-3</v>
      </c>
      <c r="AH39" s="39">
        <v>2.5844</v>
      </c>
      <c r="AI39" s="39">
        <v>0.54220000000000002</v>
      </c>
      <c r="AJ39" s="39">
        <v>0.16170000000000001</v>
      </c>
      <c r="AK39" s="39">
        <v>7.3524529693839904</v>
      </c>
      <c r="AL39" s="40" t="s">
        <v>372</v>
      </c>
      <c r="AM39" s="39" t="s">
        <v>433</v>
      </c>
      <c r="AN39" s="39">
        <v>15.81</v>
      </c>
      <c r="AO39" s="39">
        <v>0.47</v>
      </c>
      <c r="AP39" s="39">
        <v>0.68</v>
      </c>
      <c r="AQ39" s="39">
        <v>3.56</v>
      </c>
      <c r="AR39" s="20">
        <v>163.9</v>
      </c>
      <c r="AS39" s="39">
        <v>1.3849128620862716</v>
      </c>
      <c r="AT39" s="39">
        <v>21.854774844933267</v>
      </c>
      <c r="AU39" s="39" t="s">
        <v>358</v>
      </c>
      <c r="AV39" s="39" t="s">
        <v>356</v>
      </c>
      <c r="AW39" s="48">
        <v>3683.3650709098019</v>
      </c>
      <c r="AX39" s="48">
        <v>3732.9507925523781</v>
      </c>
      <c r="AY39" s="48">
        <v>2.9351778215224935</v>
      </c>
      <c r="AZ39" s="48">
        <v>2.9746913933861507</v>
      </c>
      <c r="BA39" s="48">
        <v>611.98030238093486</v>
      </c>
      <c r="BB39" s="48">
        <v>620.2188245856064</v>
      </c>
      <c r="BC39" s="50">
        <v>151.48072064541424</v>
      </c>
      <c r="BD39" s="57">
        <v>0.33877761748545149</v>
      </c>
      <c r="BE39" s="57">
        <v>0.1206504648686878</v>
      </c>
      <c r="BF39" s="48">
        <v>2.9351780000000001</v>
      </c>
      <c r="BG39" s="50">
        <v>151.48072064541424</v>
      </c>
      <c r="BH39" s="57">
        <v>0.33877761748545149</v>
      </c>
      <c r="BI39" s="57">
        <v>0.1206504648686878</v>
      </c>
      <c r="BJ39" s="39" t="s">
        <v>367</v>
      </c>
      <c r="BK39" s="39" t="s">
        <v>313</v>
      </c>
      <c r="BL39" s="39" t="s">
        <v>368</v>
      </c>
      <c r="BM39" s="39" t="s">
        <v>369</v>
      </c>
      <c r="BN39" s="93">
        <v>10.748690292480493</v>
      </c>
      <c r="BO39" s="93">
        <v>2.5935641890284815</v>
      </c>
      <c r="BP39" s="39"/>
      <c r="BQ39" s="39"/>
      <c r="BR39" s="39"/>
      <c r="BS39" s="39">
        <v>3.2362614251511186</v>
      </c>
      <c r="BT39" s="39">
        <v>26.042307670360767</v>
      </c>
      <c r="BU39" s="39">
        <v>61.720422428049339</v>
      </c>
      <c r="BV39" s="52"/>
      <c r="BW39" s="52"/>
      <c r="BX39" s="52"/>
      <c r="BY39" s="52"/>
      <c r="BZ39" s="52"/>
      <c r="CA39" s="52"/>
      <c r="CB39" s="52"/>
      <c r="CC39" s="52"/>
      <c r="CD39" s="52"/>
      <c r="CE39" s="52">
        <v>3.2362614249999999</v>
      </c>
      <c r="CF39" s="52">
        <v>26.04230767</v>
      </c>
      <c r="CG39" s="52">
        <v>61.720422429999999</v>
      </c>
      <c r="CH39" s="39" t="s">
        <v>47</v>
      </c>
      <c r="CI39" s="39" t="s">
        <v>50</v>
      </c>
      <c r="CJ39" s="39" t="s">
        <v>50</v>
      </c>
      <c r="CK39" s="48">
        <v>0.40132122261249703</v>
      </c>
      <c r="CL39" s="48">
        <v>7.5356358413009505E-3</v>
      </c>
      <c r="CM39" s="48">
        <v>0.21674042870270574</v>
      </c>
      <c r="CN39" s="48">
        <v>2.2513874982652221E-3</v>
      </c>
      <c r="CO39" s="48">
        <v>0.36676682075774175</v>
      </c>
      <c r="CP39" s="48">
        <v>0</v>
      </c>
      <c r="CQ39" s="48">
        <v>5.3845045874893359E-3</v>
      </c>
      <c r="CR39" s="39" t="s">
        <v>420</v>
      </c>
      <c r="CS39" s="48">
        <v>0.2242760645440067</v>
      </c>
      <c r="CT39" s="48">
        <v>0.3744027128434963</v>
      </c>
      <c r="CU39" s="39" t="s">
        <v>420</v>
      </c>
      <c r="CV39" s="40" t="s">
        <v>449</v>
      </c>
      <c r="CW39" s="40" t="s">
        <v>449</v>
      </c>
      <c r="CX39" s="40" t="s">
        <v>0</v>
      </c>
      <c r="CY39" s="40" t="s">
        <v>449</v>
      </c>
      <c r="CZ39" s="40" t="s">
        <v>449</v>
      </c>
      <c r="DA39" s="40" t="s">
        <v>449</v>
      </c>
      <c r="DB39" s="40" t="s">
        <v>0</v>
      </c>
      <c r="DC39" s="40" t="s">
        <v>449</v>
      </c>
      <c r="DD39" s="40" t="s">
        <v>449</v>
      </c>
      <c r="DE39" s="40" t="s">
        <v>449</v>
      </c>
      <c r="DF39" s="40" t="s">
        <v>0</v>
      </c>
      <c r="DG39" s="40" t="s">
        <v>449</v>
      </c>
      <c r="DH39" s="74">
        <v>290.14999999999998</v>
      </c>
    </row>
    <row r="40" spans="1:112" x14ac:dyDescent="0.3">
      <c r="A40" s="73">
        <v>2</v>
      </c>
      <c r="B40" s="39" t="s">
        <v>445</v>
      </c>
      <c r="C40" s="39">
        <v>7</v>
      </c>
      <c r="D40" s="39" t="s">
        <v>51</v>
      </c>
      <c r="E40" s="44">
        <v>44425</v>
      </c>
      <c r="F40" s="43">
        <v>0.43194444444444446</v>
      </c>
      <c r="G40" s="39" t="s">
        <v>52</v>
      </c>
      <c r="H40" s="39" t="s">
        <v>34</v>
      </c>
      <c r="I40" s="39">
        <v>20</v>
      </c>
      <c r="J40" s="39">
        <v>8.1050000000000004</v>
      </c>
      <c r="K40" s="39">
        <v>75.8</v>
      </c>
      <c r="L40" s="39">
        <v>6.89</v>
      </c>
      <c r="M40" s="39">
        <v>0.76</v>
      </c>
      <c r="N40" s="39">
        <v>0.3</v>
      </c>
      <c r="O40" s="39" t="s">
        <v>341</v>
      </c>
      <c r="P40" s="39" t="s">
        <v>341</v>
      </c>
      <c r="Q40" s="39" t="s">
        <v>341</v>
      </c>
      <c r="R40" s="39">
        <v>54</v>
      </c>
      <c r="S40" s="46" t="s">
        <v>109</v>
      </c>
      <c r="T40" s="46">
        <f>(0.44+0.45+0.49)/3</f>
        <v>0.45999999999999996</v>
      </c>
      <c r="U40" s="47">
        <v>51.040182618579998</v>
      </c>
      <c r="V40" s="39">
        <v>4.1653909891563599</v>
      </c>
      <c r="W40" s="39">
        <v>1</v>
      </c>
      <c r="X40" s="39" t="s">
        <v>143</v>
      </c>
      <c r="Y40" s="39">
        <v>2</v>
      </c>
      <c r="Z40" s="40">
        <v>111.08</v>
      </c>
      <c r="AA40" s="48">
        <v>6.3007215881347598</v>
      </c>
      <c r="AB40" s="39">
        <v>2</v>
      </c>
      <c r="AC40" s="39">
        <v>37.6</v>
      </c>
      <c r="AD40" s="39">
        <v>39.6</v>
      </c>
      <c r="AE40" s="39">
        <v>4.3175999999999997</v>
      </c>
      <c r="AF40" s="39">
        <v>1.0163</v>
      </c>
      <c r="AG40" s="39">
        <v>3.0000000000000001E-3</v>
      </c>
      <c r="AH40" s="39">
        <v>3.1191</v>
      </c>
      <c r="AI40" s="39">
        <v>0.6139</v>
      </c>
      <c r="AJ40" s="39">
        <v>0.17</v>
      </c>
      <c r="AK40" s="39">
        <v>7.0330672748004552</v>
      </c>
      <c r="AL40" s="40" t="s">
        <v>373</v>
      </c>
      <c r="AM40" s="39" t="s">
        <v>432</v>
      </c>
      <c r="AN40" s="39">
        <v>14.73</v>
      </c>
      <c r="AO40" s="39">
        <v>0.78</v>
      </c>
      <c r="AP40" s="39">
        <v>0</v>
      </c>
      <c r="AQ40" s="39">
        <v>3.56</v>
      </c>
      <c r="AR40" s="20">
        <v>222.9</v>
      </c>
      <c r="AS40" s="39">
        <v>3.585412327328326</v>
      </c>
      <c r="AT40" s="39">
        <v>17.031858316192785</v>
      </c>
      <c r="AU40" s="39" t="s">
        <v>357</v>
      </c>
      <c r="AV40" s="39" t="s">
        <v>356</v>
      </c>
      <c r="AW40" s="48">
        <v>2619.8312516937126</v>
      </c>
      <c r="AX40" s="48">
        <v>2667.7905079686388</v>
      </c>
      <c r="AY40" s="48">
        <v>1.1219469944987999</v>
      </c>
      <c r="AZ40" s="48">
        <v>1.142485624000706</v>
      </c>
      <c r="BA40" s="48">
        <v>343.84720536171017</v>
      </c>
      <c r="BB40" s="48">
        <v>350.14175438302527</v>
      </c>
      <c r="BC40" s="50">
        <v>119.4283894673093</v>
      </c>
      <c r="BD40" s="57">
        <v>0.2569214009976683</v>
      </c>
      <c r="BE40" s="57">
        <v>7.4086800365320657E-2</v>
      </c>
      <c r="BF40" s="48">
        <v>1.121947</v>
      </c>
      <c r="BG40" s="50">
        <v>119.4283894673093</v>
      </c>
      <c r="BH40" s="57">
        <v>0.2569214009976683</v>
      </c>
      <c r="BI40" s="57">
        <v>7.4086800365320657E-2</v>
      </c>
      <c r="BJ40" s="39" t="s">
        <v>42</v>
      </c>
      <c r="BK40" s="39" t="s">
        <v>318</v>
      </c>
      <c r="BL40" s="39" t="s">
        <v>366</v>
      </c>
      <c r="BM40" s="39"/>
      <c r="BN40" s="93">
        <v>11.01643440433137</v>
      </c>
      <c r="BO40" s="93">
        <v>2.8230949806672339</v>
      </c>
      <c r="BP40" s="39">
        <v>4.665071235446149</v>
      </c>
      <c r="BQ40" s="39">
        <v>17.488642561328234</v>
      </c>
      <c r="BR40" s="39">
        <v>44.109245978515951</v>
      </c>
      <c r="BS40" s="39">
        <v>3.2095683215041273</v>
      </c>
      <c r="BT40" s="39">
        <v>24.20900760666342</v>
      </c>
      <c r="BU40" s="39">
        <v>62.584459680232726</v>
      </c>
      <c r="BV40" s="52"/>
      <c r="BW40" s="52"/>
      <c r="BX40" s="52"/>
      <c r="BY40" s="52"/>
      <c r="BZ40" s="52"/>
      <c r="CA40" s="52"/>
      <c r="CB40" s="52">
        <v>4.6650712350000001</v>
      </c>
      <c r="CC40" s="52">
        <v>17.488642559999999</v>
      </c>
      <c r="CD40" s="52">
        <v>44.109245979999997</v>
      </c>
      <c r="CE40" s="52">
        <v>3.209568322</v>
      </c>
      <c r="CF40" s="52">
        <v>24.20900761</v>
      </c>
      <c r="CG40" s="52">
        <v>62.584459680000002</v>
      </c>
      <c r="CH40" s="39" t="s">
        <v>42</v>
      </c>
      <c r="CI40" s="39" t="s">
        <v>116</v>
      </c>
      <c r="CJ40" s="39" t="s">
        <v>42</v>
      </c>
      <c r="CK40" s="48">
        <v>0.24725073144831336</v>
      </c>
      <c r="CL40" s="48">
        <v>0.13707040892892378</v>
      </c>
      <c r="CM40" s="48">
        <v>0.40508678747163157</v>
      </c>
      <c r="CN40" s="48">
        <v>7.3338409378762171E-3</v>
      </c>
      <c r="CO40" s="48">
        <v>0.16839088745374894</v>
      </c>
      <c r="CP40" s="48">
        <v>1.8804720353528761E-5</v>
      </c>
      <c r="CQ40" s="48">
        <v>3.4848539039152519E-2</v>
      </c>
      <c r="CR40" s="39" t="s">
        <v>415</v>
      </c>
      <c r="CS40" s="48">
        <v>0.54215719640055537</v>
      </c>
      <c r="CT40" s="48">
        <v>0.21059207215113124</v>
      </c>
      <c r="CU40" s="39" t="s">
        <v>418</v>
      </c>
      <c r="CV40" s="40" t="s">
        <v>0</v>
      </c>
      <c r="CW40" s="40" t="s">
        <v>0</v>
      </c>
      <c r="CX40" s="40" t="s">
        <v>449</v>
      </c>
      <c r="CY40" s="40" t="s">
        <v>449</v>
      </c>
      <c r="CZ40" s="40" t="s">
        <v>449</v>
      </c>
      <c r="DA40" s="40" t="s">
        <v>449</v>
      </c>
      <c r="DB40" s="40" t="s">
        <v>449</v>
      </c>
      <c r="DC40" s="40" t="s">
        <v>449</v>
      </c>
      <c r="DD40" s="40" t="s">
        <v>0</v>
      </c>
      <c r="DE40" s="40" t="s">
        <v>0</v>
      </c>
      <c r="DF40" s="40" t="s">
        <v>449</v>
      </c>
      <c r="DG40" s="40" t="s">
        <v>449</v>
      </c>
      <c r="DH40" s="74">
        <v>1186.77</v>
      </c>
    </row>
    <row r="41" spans="1:112" x14ac:dyDescent="0.3">
      <c r="A41" s="73">
        <v>2</v>
      </c>
      <c r="B41" s="39" t="s">
        <v>445</v>
      </c>
      <c r="C41" s="39">
        <v>8</v>
      </c>
      <c r="D41" s="39" t="s">
        <v>53</v>
      </c>
      <c r="E41" s="44">
        <v>44425</v>
      </c>
      <c r="F41" s="43">
        <v>0.61041666666666672</v>
      </c>
      <c r="G41" s="39" t="s">
        <v>54</v>
      </c>
      <c r="H41" s="39" t="s">
        <v>34</v>
      </c>
      <c r="I41" s="39">
        <v>19.7</v>
      </c>
      <c r="J41" s="39">
        <v>8.0419999999999998</v>
      </c>
      <c r="K41" s="39">
        <v>66.5</v>
      </c>
      <c r="L41" s="39">
        <v>6.12</v>
      </c>
      <c r="M41" s="39">
        <v>0.80100000000000005</v>
      </c>
      <c r="N41" s="39">
        <v>0.3</v>
      </c>
      <c r="O41" s="39" t="s">
        <v>341</v>
      </c>
      <c r="P41" s="39" t="s">
        <v>341</v>
      </c>
      <c r="Q41" s="39" t="s">
        <v>341</v>
      </c>
      <c r="R41" s="39">
        <v>40</v>
      </c>
      <c r="S41" s="46" t="s">
        <v>109</v>
      </c>
      <c r="T41" s="46">
        <f>(0.51+0.5+0.6)/3</f>
        <v>0.53666666666666663</v>
      </c>
      <c r="U41" s="47">
        <v>51.0556886858204</v>
      </c>
      <c r="V41" s="39">
        <v>4.2000242180373704</v>
      </c>
      <c r="W41" s="39">
        <v>1</v>
      </c>
      <c r="X41" s="39" t="s">
        <v>143</v>
      </c>
      <c r="Y41" s="39">
        <v>2</v>
      </c>
      <c r="Z41" s="40">
        <v>185.66</v>
      </c>
      <c r="AA41" s="48">
        <v>5.3718595314025794</v>
      </c>
      <c r="AB41" s="39">
        <v>26.3</v>
      </c>
      <c r="AC41" s="39">
        <v>0.01</v>
      </c>
      <c r="AD41" s="39">
        <v>26.3</v>
      </c>
      <c r="AE41" s="39">
        <v>4.0075000000000003</v>
      </c>
      <c r="AF41" s="39">
        <v>7.7899999999999997E-2</v>
      </c>
      <c r="AG41" s="39">
        <v>2.0999999999999999E-3</v>
      </c>
      <c r="AH41" s="39">
        <v>2.9304999999999999</v>
      </c>
      <c r="AI41" s="39">
        <v>0.41720000000000002</v>
      </c>
      <c r="AJ41" s="39">
        <v>0.13739999999999999</v>
      </c>
      <c r="AK41" s="39">
        <v>9.6057046979865781</v>
      </c>
      <c r="AL41" s="40" t="s">
        <v>373</v>
      </c>
      <c r="AM41" s="39" t="s">
        <v>433</v>
      </c>
      <c r="AN41" s="39">
        <v>14.4</v>
      </c>
      <c r="AO41" s="39">
        <v>1.1399999999999999</v>
      </c>
      <c r="AP41" s="39">
        <v>0.9</v>
      </c>
      <c r="AQ41" s="39">
        <v>4.3</v>
      </c>
      <c r="AR41" s="20">
        <v>124.3</v>
      </c>
      <c r="AS41" s="39">
        <v>2.0894244777794291</v>
      </c>
      <c r="AT41" s="39">
        <v>14.021621960559283</v>
      </c>
      <c r="AU41" s="39" t="s">
        <v>357</v>
      </c>
      <c r="AV41" s="39" t="s">
        <v>356</v>
      </c>
      <c r="AW41" s="48">
        <v>2041.2061127884201</v>
      </c>
      <c r="AX41" s="48">
        <v>2078.8287606680196</v>
      </c>
      <c r="AY41" s="48">
        <v>0.78724997307392708</v>
      </c>
      <c r="AZ41" s="48">
        <v>0.80176023166301413</v>
      </c>
      <c r="BA41" s="48">
        <v>220.07746158251277</v>
      </c>
      <c r="BB41" s="48">
        <v>224.1338362873897</v>
      </c>
      <c r="BC41" s="50">
        <v>85.633124211516204</v>
      </c>
      <c r="BD41" s="57">
        <v>0.22878871829314246</v>
      </c>
      <c r="BE41" s="57">
        <v>2.4590643914934849E-2</v>
      </c>
      <c r="BF41" s="48">
        <v>0.78725000000000001</v>
      </c>
      <c r="BG41" s="50">
        <v>85.633124211516204</v>
      </c>
      <c r="BH41" s="57">
        <v>0.22878871829314246</v>
      </c>
      <c r="BI41" s="57">
        <v>2.4590643914934849E-2</v>
      </c>
      <c r="BJ41" s="39" t="s">
        <v>39</v>
      </c>
      <c r="BK41" s="39" t="s">
        <v>318</v>
      </c>
      <c r="BL41" s="39" t="s">
        <v>366</v>
      </c>
      <c r="BM41" s="39"/>
      <c r="BN41" s="93">
        <v>11.744688016369173</v>
      </c>
      <c r="BO41" s="93">
        <v>3.3904052173995058</v>
      </c>
      <c r="BP41" s="39">
        <v>3.0897219812784678</v>
      </c>
      <c r="BQ41" s="39">
        <v>17.63171089000609</v>
      </c>
      <c r="BR41" s="39">
        <v>42.339222150050801</v>
      </c>
      <c r="BS41" s="39">
        <v>2.8244836662834296</v>
      </c>
      <c r="BT41" s="39">
        <v>29.393315763276576</v>
      </c>
      <c r="BU41" s="39">
        <v>69.463827757479493</v>
      </c>
      <c r="BV41" s="52"/>
      <c r="BW41" s="52"/>
      <c r="BX41" s="52"/>
      <c r="BY41" s="52"/>
      <c r="BZ41" s="52"/>
      <c r="CA41" s="52"/>
      <c r="CB41" s="52">
        <v>3.0897219809999998</v>
      </c>
      <c r="CC41" s="52">
        <v>17.631710890000001</v>
      </c>
      <c r="CD41" s="52">
        <v>42.339222149999998</v>
      </c>
      <c r="CE41" s="52">
        <v>2.8244836659999999</v>
      </c>
      <c r="CF41" s="52">
        <v>29.39331576</v>
      </c>
      <c r="CG41" s="52">
        <v>69.463827760000001</v>
      </c>
      <c r="CH41" s="39" t="s">
        <v>47</v>
      </c>
      <c r="CI41" s="39" t="s">
        <v>39</v>
      </c>
      <c r="CJ41" s="39" t="s">
        <v>39</v>
      </c>
      <c r="CK41" s="48">
        <v>0.28700621455157699</v>
      </c>
      <c r="CL41" s="48">
        <v>4.398881528417823E-2</v>
      </c>
      <c r="CM41" s="48">
        <v>0.236503290056718</v>
      </c>
      <c r="CN41" s="48">
        <v>2.4128467298830279E-3</v>
      </c>
      <c r="CO41" s="48">
        <v>0.42675854331600283</v>
      </c>
      <c r="CP41" s="48">
        <v>0</v>
      </c>
      <c r="CQ41" s="48">
        <v>3.3302900616408709E-3</v>
      </c>
      <c r="CR41" s="39" t="s">
        <v>416</v>
      </c>
      <c r="CS41" s="48">
        <v>0.28049210534089625</v>
      </c>
      <c r="CT41" s="48">
        <v>0.43250168010752671</v>
      </c>
      <c r="CU41" s="39" t="s">
        <v>42</v>
      </c>
      <c r="CV41" s="40" t="s">
        <v>449</v>
      </c>
      <c r="CW41" s="40" t="s">
        <v>449</v>
      </c>
      <c r="CX41" s="40" t="s">
        <v>449</v>
      </c>
      <c r="CY41" s="40" t="s">
        <v>449</v>
      </c>
      <c r="CZ41" s="40" t="s">
        <v>449</v>
      </c>
      <c r="DA41" s="40" t="s">
        <v>449</v>
      </c>
      <c r="DB41" s="40" t="s">
        <v>449</v>
      </c>
      <c r="DC41" s="40" t="s">
        <v>449</v>
      </c>
      <c r="DD41" s="40" t="s">
        <v>449</v>
      </c>
      <c r="DE41" s="40" t="s">
        <v>449</v>
      </c>
      <c r="DF41" s="40" t="s">
        <v>449</v>
      </c>
      <c r="DG41" s="40" t="s">
        <v>449</v>
      </c>
      <c r="DH41" s="74">
        <v>426</v>
      </c>
    </row>
    <row r="42" spans="1:112" x14ac:dyDescent="0.3">
      <c r="A42" s="73">
        <v>2</v>
      </c>
      <c r="B42" s="39" t="s">
        <v>445</v>
      </c>
      <c r="C42" s="39">
        <v>9</v>
      </c>
      <c r="D42" s="39" t="s">
        <v>55</v>
      </c>
      <c r="E42" s="44">
        <v>44425</v>
      </c>
      <c r="F42" s="43">
        <v>0.49722222222222223</v>
      </c>
      <c r="G42" s="39" t="s">
        <v>56</v>
      </c>
      <c r="H42" s="39" t="s">
        <v>34</v>
      </c>
      <c r="I42" s="39">
        <v>19.8</v>
      </c>
      <c r="J42" s="39">
        <v>7.9059999999999997</v>
      </c>
      <c r="K42" s="39">
        <v>56.9</v>
      </c>
      <c r="L42" s="39">
        <v>5.2</v>
      </c>
      <c r="M42" s="39">
        <v>0.90700000000000003</v>
      </c>
      <c r="N42" s="39">
        <v>0.4</v>
      </c>
      <c r="O42" s="39" t="s">
        <v>341</v>
      </c>
      <c r="P42" s="39" t="s">
        <v>341</v>
      </c>
      <c r="Q42" s="39" t="s">
        <v>341</v>
      </c>
      <c r="R42" s="39">
        <v>51</v>
      </c>
      <c r="S42" s="46" t="s">
        <v>109</v>
      </c>
      <c r="T42" s="46">
        <f>(0.76+0.65+0.69)/3</f>
        <v>0.70000000000000007</v>
      </c>
      <c r="U42" s="47">
        <v>51.092241000000001</v>
      </c>
      <c r="V42" s="39">
        <v>4.171176</v>
      </c>
      <c r="W42" s="39">
        <v>1</v>
      </c>
      <c r="X42" s="39" t="s">
        <v>143</v>
      </c>
      <c r="Y42" s="39">
        <v>2</v>
      </c>
      <c r="Z42" s="39">
        <v>193.19</v>
      </c>
      <c r="AA42" s="48">
        <v>7.1204890298843306</v>
      </c>
      <c r="AB42" s="39">
        <v>3</v>
      </c>
      <c r="AC42" s="39">
        <v>34.4</v>
      </c>
      <c r="AD42" s="39">
        <v>37.4</v>
      </c>
      <c r="AE42" s="40">
        <v>3.5607000000000002</v>
      </c>
      <c r="AF42" s="39">
        <v>0.13669999999999999</v>
      </c>
      <c r="AG42" s="39">
        <v>8.2000000000000007E-3</v>
      </c>
      <c r="AH42" s="39">
        <v>2.8553999999999999</v>
      </c>
      <c r="AI42" s="39">
        <v>0.43490000000000001</v>
      </c>
      <c r="AJ42" s="39">
        <v>0.14849999999999999</v>
      </c>
      <c r="AK42" s="39">
        <v>8.1873994021614163</v>
      </c>
      <c r="AL42" s="40" t="s">
        <v>373</v>
      </c>
      <c r="AM42" s="39" t="s">
        <v>433</v>
      </c>
      <c r="AN42" s="39">
        <v>15.51</v>
      </c>
      <c r="AO42" s="39">
        <v>3.74</v>
      </c>
      <c r="AP42" s="39">
        <v>0</v>
      </c>
      <c r="AQ42" s="39">
        <v>4.3</v>
      </c>
      <c r="AR42" s="20">
        <v>226.7</v>
      </c>
      <c r="AS42" s="39">
        <v>2.8517870995024039</v>
      </c>
      <c r="AT42" s="39">
        <v>21.819068073161681</v>
      </c>
      <c r="AU42" s="39" t="s">
        <v>357</v>
      </c>
      <c r="AV42" s="39" t="s">
        <v>356</v>
      </c>
      <c r="AW42" s="48">
        <v>9455.555967422124</v>
      </c>
      <c r="AX42" s="48">
        <v>9596.0823136434301</v>
      </c>
      <c r="AY42" s="48">
        <v>2.4375155232605552</v>
      </c>
      <c r="AZ42" s="48">
        <v>2.4737413307669223</v>
      </c>
      <c r="BA42" s="48">
        <v>1351.2775120007952</v>
      </c>
      <c r="BB42" s="48">
        <v>1371.3598944801258</v>
      </c>
      <c r="BC42" s="50">
        <v>66.128594993207827</v>
      </c>
      <c r="BD42" s="57">
        <v>0.23984337443022224</v>
      </c>
      <c r="BE42" s="57">
        <v>3.9290381090032689E-2</v>
      </c>
      <c r="BF42" s="48">
        <v>2.437516</v>
      </c>
      <c r="BG42" s="50">
        <v>66.128594993207827</v>
      </c>
      <c r="BH42" s="57">
        <v>0.23984337443022224</v>
      </c>
      <c r="BI42" s="57">
        <v>3.9290381090032689E-2</v>
      </c>
      <c r="BJ42" s="39" t="s">
        <v>39</v>
      </c>
      <c r="BK42" s="39" t="s">
        <v>318</v>
      </c>
      <c r="BL42" s="39" t="s">
        <v>366</v>
      </c>
      <c r="BM42" s="39"/>
      <c r="BN42" s="93">
        <v>12.150931883620855</v>
      </c>
      <c r="BO42" s="93">
        <v>2.5827915528162038</v>
      </c>
      <c r="BP42" s="39">
        <v>3.178976509826569</v>
      </c>
      <c r="BQ42" s="39">
        <v>17.785875719470798</v>
      </c>
      <c r="BR42" s="39">
        <v>42.231193979423786</v>
      </c>
      <c r="BS42" s="39">
        <v>2.6036129532278109</v>
      </c>
      <c r="BT42" s="39">
        <v>24.771885396826256</v>
      </c>
      <c r="BU42" s="39">
        <v>62.447801329893082</v>
      </c>
      <c r="BV42" s="52"/>
      <c r="BW42" s="52"/>
      <c r="BX42" s="52"/>
      <c r="BY42" s="52"/>
      <c r="BZ42" s="52"/>
      <c r="CA42" s="52"/>
      <c r="CB42" s="52">
        <v>3.17897651</v>
      </c>
      <c r="CC42" s="52">
        <v>17.78587572</v>
      </c>
      <c r="CD42" s="52">
        <v>42.23119398</v>
      </c>
      <c r="CE42" s="52">
        <v>2.6036129529999998</v>
      </c>
      <c r="CF42" s="52">
        <v>24.771885399999999</v>
      </c>
      <c r="CG42" s="52">
        <v>62.447801329999997</v>
      </c>
      <c r="CH42" s="39" t="s">
        <v>36</v>
      </c>
      <c r="CI42" s="39" t="s">
        <v>47</v>
      </c>
      <c r="CJ42" s="39" t="s">
        <v>36</v>
      </c>
      <c r="CK42" s="48">
        <v>5.2285379175473976E-2</v>
      </c>
      <c r="CL42" s="48">
        <v>7.0391344550225804E-2</v>
      </c>
      <c r="CM42" s="48">
        <v>0.35182192829013775</v>
      </c>
      <c r="CN42" s="48">
        <v>1.3474066977500783E-2</v>
      </c>
      <c r="CO42" s="48">
        <v>0.50340391611133173</v>
      </c>
      <c r="CP42" s="48">
        <v>0</v>
      </c>
      <c r="CQ42" s="48">
        <v>8.6233648953297996E-3</v>
      </c>
      <c r="CR42" s="39" t="s">
        <v>416</v>
      </c>
      <c r="CS42" s="48">
        <v>0.42221327284036358</v>
      </c>
      <c r="CT42" s="48">
        <v>0.52550134798416226</v>
      </c>
      <c r="CU42" s="39" t="s">
        <v>42</v>
      </c>
      <c r="CV42" s="40" t="s">
        <v>449</v>
      </c>
      <c r="CW42" s="40" t="s">
        <v>449</v>
      </c>
      <c r="CX42" s="40" t="s">
        <v>0</v>
      </c>
      <c r="CY42" s="40" t="s">
        <v>0</v>
      </c>
      <c r="CZ42" s="40" t="s">
        <v>449</v>
      </c>
      <c r="DA42" s="40" t="s">
        <v>449</v>
      </c>
      <c r="DB42" s="40" t="s">
        <v>0</v>
      </c>
      <c r="DC42" s="40" t="s">
        <v>0</v>
      </c>
      <c r="DD42" s="40" t="s">
        <v>449</v>
      </c>
      <c r="DE42" s="40" t="s">
        <v>449</v>
      </c>
      <c r="DF42" s="40" t="s">
        <v>0</v>
      </c>
      <c r="DG42" s="40" t="s">
        <v>0</v>
      </c>
      <c r="DH42" s="74">
        <v>718</v>
      </c>
    </row>
    <row r="43" spans="1:112" x14ac:dyDescent="0.3">
      <c r="A43" s="73">
        <v>2</v>
      </c>
      <c r="B43" s="39" t="s">
        <v>445</v>
      </c>
      <c r="C43" s="39">
        <v>10</v>
      </c>
      <c r="D43" s="39" t="s">
        <v>57</v>
      </c>
      <c r="E43" s="44">
        <v>44425</v>
      </c>
      <c r="F43" s="43">
        <v>0.54861111111111105</v>
      </c>
      <c r="G43" s="39" t="s">
        <v>58</v>
      </c>
      <c r="H43" s="39" t="s">
        <v>34</v>
      </c>
      <c r="I43" s="39">
        <v>19.3</v>
      </c>
      <c r="J43" s="39">
        <v>7.9089999999999998</v>
      </c>
      <c r="K43" s="39">
        <v>57.8</v>
      </c>
      <c r="L43" s="39">
        <v>5.34</v>
      </c>
      <c r="M43" s="39">
        <v>1.022</v>
      </c>
      <c r="N43" s="39">
        <v>0.4</v>
      </c>
      <c r="O43" s="39" t="s">
        <v>341</v>
      </c>
      <c r="P43" s="39" t="s">
        <v>341</v>
      </c>
      <c r="Q43" s="39" t="s">
        <v>341</v>
      </c>
      <c r="R43" s="39">
        <v>30.4</v>
      </c>
      <c r="S43" s="46" t="s">
        <v>109</v>
      </c>
      <c r="T43" s="46">
        <f>(0.52+0.55+0.58)/3</f>
        <v>0.54999999999999993</v>
      </c>
      <c r="U43" s="47">
        <v>51.119509999999998</v>
      </c>
      <c r="V43" s="39">
        <v>4.2056969999999998</v>
      </c>
      <c r="W43" s="39">
        <v>1</v>
      </c>
      <c r="X43" s="39" t="s">
        <v>143</v>
      </c>
      <c r="Y43" s="39">
        <v>2</v>
      </c>
      <c r="Z43" s="39">
        <v>266.79000000000002</v>
      </c>
      <c r="AA43" s="48">
        <v>7.3698768329620297</v>
      </c>
      <c r="AB43" s="39">
        <v>12.4</v>
      </c>
      <c r="AC43" s="39">
        <v>22.7</v>
      </c>
      <c r="AD43" s="39">
        <v>35.1</v>
      </c>
      <c r="AE43" s="39">
        <v>3.2160000000000002</v>
      </c>
      <c r="AF43" s="39">
        <v>0.1893</v>
      </c>
      <c r="AG43" s="39">
        <v>3.5999999999999999E-3</v>
      </c>
      <c r="AH43" s="39">
        <v>2.6360000000000001</v>
      </c>
      <c r="AI43" s="39">
        <v>0.26919999999999999</v>
      </c>
      <c r="AJ43" s="39">
        <v>0.12239999999999999</v>
      </c>
      <c r="AK43" s="39">
        <v>11.946508172362556</v>
      </c>
      <c r="AL43" s="40" t="s">
        <v>373</v>
      </c>
      <c r="AM43" s="39" t="s">
        <v>433</v>
      </c>
      <c r="AN43" s="39">
        <v>14.08</v>
      </c>
      <c r="AO43" s="39">
        <v>2.39</v>
      </c>
      <c r="AP43" s="39">
        <v>0.3</v>
      </c>
      <c r="AQ43" s="39">
        <v>4.3</v>
      </c>
      <c r="AR43" s="20">
        <v>74.599999999999994</v>
      </c>
      <c r="AS43" s="39">
        <v>2.8552695514074418</v>
      </c>
      <c r="AT43" s="39">
        <v>16.514989906211628</v>
      </c>
      <c r="AU43" s="39" t="s">
        <v>357</v>
      </c>
      <c r="AV43" s="39" t="s">
        <v>356</v>
      </c>
      <c r="AW43" s="48">
        <v>4556.0729953986365</v>
      </c>
      <c r="AX43" s="48">
        <v>4638.8731939711415</v>
      </c>
      <c r="AY43" s="48">
        <v>1.1079586303100273</v>
      </c>
      <c r="AZ43" s="48">
        <v>1.1280942152079088</v>
      </c>
      <c r="BA43" s="48">
        <v>622.51448564096938</v>
      </c>
      <c r="BB43" s="48">
        <v>633.82780811788984</v>
      </c>
      <c r="BC43" s="50">
        <v>80.977843554204014</v>
      </c>
      <c r="BD43" s="57">
        <v>0.29483936458567039</v>
      </c>
      <c r="BE43" s="57">
        <v>5.0978929500324635E-2</v>
      </c>
      <c r="BF43" s="48">
        <v>1.1079589999999999</v>
      </c>
      <c r="BG43" s="50">
        <v>80.977843554204014</v>
      </c>
      <c r="BH43" s="57">
        <v>0.29483936458567039</v>
      </c>
      <c r="BI43" s="57">
        <v>5.0978929500324635E-2</v>
      </c>
      <c r="BJ43" s="39" t="s">
        <v>39</v>
      </c>
      <c r="BK43" s="39" t="s">
        <v>318</v>
      </c>
      <c r="BL43" s="39" t="s">
        <v>366</v>
      </c>
      <c r="BM43" s="39"/>
      <c r="BN43" s="93">
        <v>12.22570040096323</v>
      </c>
      <c r="BO43" s="93">
        <v>3.7028181949798489</v>
      </c>
      <c r="BP43" s="39"/>
      <c r="BQ43" s="39"/>
      <c r="BR43" s="39"/>
      <c r="BS43" s="39">
        <v>1.2155300617372147</v>
      </c>
      <c r="BT43" s="39">
        <v>25.006409287040682</v>
      </c>
      <c r="BU43" s="39">
        <v>62.884867294534452</v>
      </c>
      <c r="BV43" s="52"/>
      <c r="BW43" s="52"/>
      <c r="BX43" s="52"/>
      <c r="BY43" s="52"/>
      <c r="BZ43" s="52"/>
      <c r="CA43" s="52"/>
      <c r="CB43" s="52"/>
      <c r="CC43" s="52"/>
      <c r="CD43" s="52"/>
      <c r="CE43" s="52">
        <v>1.215530062</v>
      </c>
      <c r="CF43" s="52">
        <v>25.006409290000001</v>
      </c>
      <c r="CG43" s="52">
        <v>62.884867290000003</v>
      </c>
      <c r="CH43" s="39" t="s">
        <v>39</v>
      </c>
      <c r="CI43" s="39" t="s">
        <v>47</v>
      </c>
      <c r="CJ43" s="39" t="s">
        <v>39</v>
      </c>
      <c r="CK43" s="48">
        <v>0.40316940513570065</v>
      </c>
      <c r="CL43" s="48">
        <v>8.2450728532317673E-3</v>
      </c>
      <c r="CM43" s="48">
        <v>0.16069142756768814</v>
      </c>
      <c r="CN43" s="48">
        <v>1.3196161134993235E-2</v>
      </c>
      <c r="CO43" s="48">
        <v>0.39946578252147513</v>
      </c>
      <c r="CP43" s="48">
        <v>0</v>
      </c>
      <c r="CQ43" s="48">
        <v>1.5232150786911196E-2</v>
      </c>
      <c r="CR43" s="39" t="s">
        <v>420</v>
      </c>
      <c r="CS43" s="48">
        <v>0.1689365004209199</v>
      </c>
      <c r="CT43" s="48">
        <v>0.42789409444337956</v>
      </c>
      <c r="CU43" s="39" t="s">
        <v>42</v>
      </c>
      <c r="CV43" s="40" t="s">
        <v>449</v>
      </c>
      <c r="CW43" s="40" t="s">
        <v>449</v>
      </c>
      <c r="CX43" s="40" t="s">
        <v>449</v>
      </c>
      <c r="CY43" s="40" t="s">
        <v>449</v>
      </c>
      <c r="CZ43" s="40" t="s">
        <v>0</v>
      </c>
      <c r="DA43" s="40" t="s">
        <v>0</v>
      </c>
      <c r="DB43" s="40" t="s">
        <v>449</v>
      </c>
      <c r="DC43" s="40" t="s">
        <v>0</v>
      </c>
      <c r="DD43" s="40" t="s">
        <v>0</v>
      </c>
      <c r="DE43" s="40" t="s">
        <v>0</v>
      </c>
      <c r="DF43" s="40" t="s">
        <v>449</v>
      </c>
      <c r="DG43" s="40" t="s">
        <v>0</v>
      </c>
      <c r="DH43" s="74">
        <v>1300</v>
      </c>
    </row>
    <row r="44" spans="1:112" x14ac:dyDescent="0.3">
      <c r="A44" s="73">
        <v>2</v>
      </c>
      <c r="B44" s="39" t="s">
        <v>445</v>
      </c>
      <c r="C44" s="39">
        <v>11</v>
      </c>
      <c r="D44" s="39" t="s">
        <v>59</v>
      </c>
      <c r="E44" s="44">
        <v>44426</v>
      </c>
      <c r="F44" s="43">
        <v>0.67499999999999993</v>
      </c>
      <c r="G44" s="39" t="s">
        <v>60</v>
      </c>
      <c r="H44" s="39" t="s">
        <v>34</v>
      </c>
      <c r="I44" s="39">
        <v>19.7</v>
      </c>
      <c r="J44" s="39">
        <v>7.8929999999999998</v>
      </c>
      <c r="K44" s="39">
        <v>59.2</v>
      </c>
      <c r="L44" s="39">
        <v>5.43</v>
      </c>
      <c r="M44" s="39">
        <v>1.1579999999999999</v>
      </c>
      <c r="N44" s="39">
        <v>0.5</v>
      </c>
      <c r="O44" s="39" t="s">
        <v>342</v>
      </c>
      <c r="P44" s="39" t="s">
        <v>343</v>
      </c>
      <c r="Q44" s="39" t="s">
        <v>343</v>
      </c>
      <c r="R44" s="39">
        <v>80.2</v>
      </c>
      <c r="S44" s="46" t="s">
        <v>109</v>
      </c>
      <c r="T44" s="46">
        <f>(0.78+0.78+0.75)/3</f>
        <v>0.77</v>
      </c>
      <c r="U44" s="47">
        <v>51.123835434132303</v>
      </c>
      <c r="V44" s="39">
        <v>4.2750023768935801</v>
      </c>
      <c r="W44" s="39">
        <v>1</v>
      </c>
      <c r="X44" s="39" t="s">
        <v>143</v>
      </c>
      <c r="Y44" s="39">
        <v>2</v>
      </c>
      <c r="Z44" s="40">
        <v>335.88</v>
      </c>
      <c r="AA44" s="48">
        <v>8.1140692520141595</v>
      </c>
      <c r="AB44" s="39">
        <v>3.5</v>
      </c>
      <c r="AC44" s="39">
        <v>32.9</v>
      </c>
      <c r="AD44" s="39">
        <v>36.4</v>
      </c>
      <c r="AE44" s="40">
        <v>2.9289000000000001</v>
      </c>
      <c r="AF44" s="39">
        <v>2.9399999999999999E-2</v>
      </c>
      <c r="AG44" s="39">
        <v>2E-3</v>
      </c>
      <c r="AH44" s="39">
        <v>2.7595999999999998</v>
      </c>
      <c r="AI44" s="39">
        <v>0.45529999999999998</v>
      </c>
      <c r="AJ44" s="39">
        <v>0.14649999999999999</v>
      </c>
      <c r="AK44" s="39">
        <v>6.4329013837030535</v>
      </c>
      <c r="AL44" s="40" t="s">
        <v>372</v>
      </c>
      <c r="AM44" s="39" t="s">
        <v>433</v>
      </c>
      <c r="AN44" s="39">
        <v>17.64</v>
      </c>
      <c r="AO44" s="39">
        <v>3.14</v>
      </c>
      <c r="AP44" s="39">
        <v>0</v>
      </c>
      <c r="AQ44" s="39">
        <v>0.7</v>
      </c>
      <c r="AR44" s="20">
        <v>135.5</v>
      </c>
      <c r="AS44" s="39">
        <v>2.473854766352789</v>
      </c>
      <c r="AT44" s="39">
        <v>22.049205299019011</v>
      </c>
      <c r="AU44" s="39" t="s">
        <v>357</v>
      </c>
      <c r="AV44" s="39" t="s">
        <v>356</v>
      </c>
      <c r="AW44" s="48">
        <v>8291.4538237587585</v>
      </c>
      <c r="AX44" s="48">
        <v>8350.1917269773821</v>
      </c>
      <c r="AY44" s="48">
        <v>2.6693803654611012</v>
      </c>
      <c r="AZ44" s="48">
        <v>2.6882906565744467</v>
      </c>
      <c r="BA44" s="48">
        <v>1385.429091836578</v>
      </c>
      <c r="BB44" s="48">
        <v>1395.2436794399459</v>
      </c>
      <c r="BC44" s="50">
        <v>81.211371599718518</v>
      </c>
      <c r="BD44" s="57">
        <v>0.29491022775809511</v>
      </c>
      <c r="BE44" s="57">
        <v>4.0760769001320307E-2</v>
      </c>
      <c r="BF44" s="48">
        <v>2.6693799999999999</v>
      </c>
      <c r="BG44" s="50">
        <v>81.211371599718518</v>
      </c>
      <c r="BH44" s="57">
        <v>0.29491022775809511</v>
      </c>
      <c r="BI44" s="57">
        <v>4.0760769001320307E-2</v>
      </c>
      <c r="BJ44" s="39" t="s">
        <v>39</v>
      </c>
      <c r="BK44" s="39" t="s">
        <v>319</v>
      </c>
      <c r="BL44" s="39" t="s">
        <v>366</v>
      </c>
      <c r="BM44" s="39"/>
      <c r="BN44" s="93">
        <v>12.141796274727851</v>
      </c>
      <c r="BO44" s="93">
        <v>2.764819020929135</v>
      </c>
      <c r="BP44" s="39"/>
      <c r="BQ44" s="39"/>
      <c r="BR44" s="39"/>
      <c r="BS44" s="39">
        <v>0.72006199520543213</v>
      </c>
      <c r="BT44" s="39">
        <v>25.62040659363787</v>
      </c>
      <c r="BU44" s="39">
        <v>61.811580449701992</v>
      </c>
      <c r="BV44" s="52"/>
      <c r="BW44" s="52"/>
      <c r="BX44" s="52"/>
      <c r="BY44" s="52"/>
      <c r="BZ44" s="52"/>
      <c r="CA44" s="52"/>
      <c r="CB44" s="52"/>
      <c r="CC44" s="52"/>
      <c r="CD44" s="52"/>
      <c r="CE44" s="52">
        <v>0.72006199500000001</v>
      </c>
      <c r="CF44" s="52">
        <v>25.620406590000002</v>
      </c>
      <c r="CG44" s="52">
        <v>61.811580450000001</v>
      </c>
      <c r="CH44" s="39" t="s">
        <v>36</v>
      </c>
      <c r="CI44" s="39" t="s">
        <v>47</v>
      </c>
      <c r="CJ44" s="39" t="s">
        <v>36</v>
      </c>
      <c r="CK44" s="48">
        <v>0.17569351176437448</v>
      </c>
      <c r="CL44" s="48">
        <v>3.460784205342203E-2</v>
      </c>
      <c r="CM44" s="48">
        <v>0.17939544086058626</v>
      </c>
      <c r="CN44" s="48">
        <v>2.7159134326692123E-2</v>
      </c>
      <c r="CO44" s="48">
        <v>0.57370742338886116</v>
      </c>
      <c r="CP44" s="48">
        <v>0</v>
      </c>
      <c r="CQ44" s="48">
        <v>9.436647606063971E-3</v>
      </c>
      <c r="CR44" s="39" t="s">
        <v>416</v>
      </c>
      <c r="CS44" s="48">
        <v>0.21400328291400827</v>
      </c>
      <c r="CT44" s="48">
        <v>0.6103032053216173</v>
      </c>
      <c r="CU44" s="39" t="s">
        <v>42</v>
      </c>
      <c r="CV44" s="40" t="s">
        <v>449</v>
      </c>
      <c r="CW44" s="40" t="s">
        <v>449</v>
      </c>
      <c r="CX44" s="40" t="s">
        <v>449</v>
      </c>
      <c r="CY44" s="40" t="s">
        <v>0</v>
      </c>
      <c r="CZ44" s="40" t="s">
        <v>449</v>
      </c>
      <c r="DA44" s="40" t="s">
        <v>449</v>
      </c>
      <c r="DB44" s="40" t="s">
        <v>449</v>
      </c>
      <c r="DC44" s="40" t="s">
        <v>449</v>
      </c>
      <c r="DD44" s="40" t="s">
        <v>449</v>
      </c>
      <c r="DE44" s="40" t="s">
        <v>449</v>
      </c>
      <c r="DF44" s="40" t="s">
        <v>449</v>
      </c>
      <c r="DG44" s="40" t="s">
        <v>0</v>
      </c>
      <c r="DH44" s="74">
        <v>190.43</v>
      </c>
    </row>
    <row r="45" spans="1:112" x14ac:dyDescent="0.3">
      <c r="A45" s="73">
        <v>2</v>
      </c>
      <c r="B45" s="39" t="s">
        <v>445</v>
      </c>
      <c r="C45" s="39">
        <v>12</v>
      </c>
      <c r="D45" s="39" t="s">
        <v>61</v>
      </c>
      <c r="E45" s="44">
        <v>44426</v>
      </c>
      <c r="F45" s="43">
        <v>0.625</v>
      </c>
      <c r="G45" s="39" t="s">
        <v>62</v>
      </c>
      <c r="H45" s="39" t="s">
        <v>34</v>
      </c>
      <c r="I45" s="39">
        <v>19.899999999999999</v>
      </c>
      <c r="J45" s="39">
        <v>7.8970000000000002</v>
      </c>
      <c r="K45" s="39">
        <v>60</v>
      </c>
      <c r="L45" s="39">
        <v>5.43</v>
      </c>
      <c r="M45" s="39">
        <v>2.16</v>
      </c>
      <c r="N45" s="39">
        <v>1.1000000000000001</v>
      </c>
      <c r="O45" s="39" t="s">
        <v>342</v>
      </c>
      <c r="P45" s="39" t="s">
        <v>343</v>
      </c>
      <c r="Q45" s="39" t="s">
        <v>343</v>
      </c>
      <c r="R45" s="39">
        <v>131.1</v>
      </c>
      <c r="S45" s="46" t="s">
        <v>109</v>
      </c>
      <c r="T45" s="46">
        <f>(1.01+1.01+1.1)/3</f>
        <v>1.04</v>
      </c>
      <c r="U45" s="47">
        <v>51.142229999999998</v>
      </c>
      <c r="V45" s="39">
        <v>4.3264480000000001</v>
      </c>
      <c r="W45" s="39">
        <v>1</v>
      </c>
      <c r="X45" s="39" t="s">
        <v>143</v>
      </c>
      <c r="Y45" s="39">
        <v>2</v>
      </c>
      <c r="Z45" s="40">
        <v>318.52</v>
      </c>
      <c r="AA45" s="48">
        <v>6.96</v>
      </c>
      <c r="AB45" s="39">
        <v>8.1</v>
      </c>
      <c r="AC45" s="39">
        <v>35.5</v>
      </c>
      <c r="AD45" s="39">
        <v>43.6</v>
      </c>
      <c r="AE45" s="39">
        <v>3.0836000000000001</v>
      </c>
      <c r="AF45" s="39">
        <v>2.7400000000000001E-2</v>
      </c>
      <c r="AG45" s="39">
        <v>2.8E-3</v>
      </c>
      <c r="AH45" s="39">
        <v>2.4889999999999999</v>
      </c>
      <c r="AI45" s="39">
        <v>0.41860000000000003</v>
      </c>
      <c r="AJ45" s="39">
        <v>0.13250000000000001</v>
      </c>
      <c r="AK45" s="39">
        <v>7.366459627329192</v>
      </c>
      <c r="AL45" s="40" t="s">
        <v>373</v>
      </c>
      <c r="AM45" s="39" t="s">
        <v>433</v>
      </c>
      <c r="AN45" s="39">
        <v>18.39</v>
      </c>
      <c r="AO45" s="39">
        <v>2.14</v>
      </c>
      <c r="AP45" s="39">
        <v>0</v>
      </c>
      <c r="AQ45" s="39">
        <v>0.63</v>
      </c>
      <c r="AR45" s="20">
        <v>155.80000000000001</v>
      </c>
      <c r="AS45" s="39">
        <v>2.6850064469301529</v>
      </c>
      <c r="AT45" s="39">
        <v>16.646683687233804</v>
      </c>
      <c r="AU45" s="39" t="s">
        <v>357</v>
      </c>
      <c r="AV45" s="39" t="s">
        <v>356</v>
      </c>
      <c r="AW45" s="48">
        <v>4809.5551392698617</v>
      </c>
      <c r="AX45" s="48">
        <v>4834.4657116108692</v>
      </c>
      <c r="AY45" s="48">
        <v>2.0218259241495313</v>
      </c>
      <c r="AZ45" s="48">
        <v>2.0322977535570419</v>
      </c>
      <c r="BA45" s="48">
        <v>794.69483017347136</v>
      </c>
      <c r="BB45" s="48">
        <v>798.81086637283295</v>
      </c>
      <c r="BC45" s="50">
        <v>85.81541317078964</v>
      </c>
      <c r="BD45" s="57">
        <v>0.26304579470510819</v>
      </c>
      <c r="BE45" s="57">
        <v>5.5940970958698037E-2</v>
      </c>
      <c r="BF45" s="48">
        <v>2.0218259999999999</v>
      </c>
      <c r="BG45" s="50">
        <v>85.81541317078964</v>
      </c>
      <c r="BH45" s="57">
        <v>0.26304579470510819</v>
      </c>
      <c r="BI45" s="57">
        <v>5.5940970958698037E-2</v>
      </c>
      <c r="BJ45" s="39" t="s">
        <v>42</v>
      </c>
      <c r="BK45" s="39" t="s">
        <v>318</v>
      </c>
      <c r="BL45" s="39" t="s">
        <v>366</v>
      </c>
      <c r="BM45" s="39"/>
      <c r="BN45" s="93">
        <v>11.84545154539699</v>
      </c>
      <c r="BO45" s="93">
        <v>2.2893953203683863</v>
      </c>
      <c r="BP45" s="39"/>
      <c r="BQ45" s="39"/>
      <c r="BR45" s="39"/>
      <c r="BS45" s="39">
        <v>-0.18542375067103656</v>
      </c>
      <c r="BT45" s="39">
        <v>28.241166441162285</v>
      </c>
      <c r="BU45" s="39">
        <v>66.619276111297239</v>
      </c>
      <c r="BV45" s="52"/>
      <c r="BW45" s="52"/>
      <c r="BX45" s="52"/>
      <c r="BY45" s="52"/>
      <c r="BZ45" s="52"/>
      <c r="CA45" s="52"/>
      <c r="CB45" s="52"/>
      <c r="CC45" s="52"/>
      <c r="CD45" s="52"/>
      <c r="CE45" s="52">
        <v>-0.185423751</v>
      </c>
      <c r="CF45" s="52">
        <v>28.241166440000001</v>
      </c>
      <c r="CG45" s="52">
        <v>66.619276110000001</v>
      </c>
      <c r="CH45" s="39" t="s">
        <v>42</v>
      </c>
      <c r="CI45" s="39" t="s">
        <v>36</v>
      </c>
      <c r="CJ45" s="39" t="s">
        <v>42</v>
      </c>
      <c r="CK45" s="48">
        <v>0.20205738924634145</v>
      </c>
      <c r="CL45" s="48">
        <v>7.3421950802206046E-3</v>
      </c>
      <c r="CM45" s="48">
        <v>0.49645743709854756</v>
      </c>
      <c r="CN45" s="48">
        <v>4.961999417866314E-2</v>
      </c>
      <c r="CO45" s="48">
        <v>0.21391870373690292</v>
      </c>
      <c r="CP45" s="48">
        <v>4.3455529145197395E-5</v>
      </c>
      <c r="CQ45" s="48">
        <v>3.0560825130179083E-2</v>
      </c>
      <c r="CR45" s="39" t="s">
        <v>415</v>
      </c>
      <c r="CS45" s="48">
        <v>0.50379963217876822</v>
      </c>
      <c r="CT45" s="48">
        <v>0.29414297857489036</v>
      </c>
      <c r="CU45" s="39" t="s">
        <v>418</v>
      </c>
      <c r="CV45" s="40" t="s">
        <v>449</v>
      </c>
      <c r="CW45" s="40" t="s">
        <v>449</v>
      </c>
      <c r="CX45" s="40" t="s">
        <v>449</v>
      </c>
      <c r="CY45" s="40" t="s">
        <v>0</v>
      </c>
      <c r="CZ45" s="40" t="s">
        <v>449</v>
      </c>
      <c r="DA45" s="40" t="s">
        <v>449</v>
      </c>
      <c r="DB45" s="40" t="s">
        <v>449</v>
      </c>
      <c r="DC45" s="40" t="s">
        <v>0</v>
      </c>
      <c r="DD45" s="40" t="s">
        <v>449</v>
      </c>
      <c r="DE45" s="40" t="s">
        <v>449</v>
      </c>
      <c r="DF45" s="40" t="s">
        <v>0</v>
      </c>
      <c r="DG45" s="40" t="s">
        <v>0</v>
      </c>
      <c r="DH45" s="74">
        <v>284</v>
      </c>
    </row>
    <row r="46" spans="1:112" x14ac:dyDescent="0.3">
      <c r="A46" s="73">
        <v>2</v>
      </c>
      <c r="B46" s="39" t="s">
        <v>445</v>
      </c>
      <c r="C46" s="39">
        <v>13</v>
      </c>
      <c r="D46" s="39" t="s">
        <v>63</v>
      </c>
      <c r="E46" s="44">
        <v>44426</v>
      </c>
      <c r="F46" s="43">
        <v>0.47986111111111113</v>
      </c>
      <c r="G46" s="39" t="s">
        <v>64</v>
      </c>
      <c r="H46" s="39" t="s">
        <v>34</v>
      </c>
      <c r="I46" s="39">
        <v>19.8</v>
      </c>
      <c r="J46" s="39">
        <v>7.8879999999999999</v>
      </c>
      <c r="K46" s="39">
        <v>57.6</v>
      </c>
      <c r="L46" s="39">
        <v>5.23</v>
      </c>
      <c r="M46" s="39">
        <v>2.0099999999999998</v>
      </c>
      <c r="N46" s="39">
        <v>1</v>
      </c>
      <c r="O46" s="39" t="s">
        <v>342</v>
      </c>
      <c r="P46" s="39" t="s">
        <v>343</v>
      </c>
      <c r="Q46" s="39" t="s">
        <v>343</v>
      </c>
      <c r="R46" s="39">
        <v>133.80000000000001</v>
      </c>
      <c r="S46" s="46" t="s">
        <v>109</v>
      </c>
      <c r="T46" s="46">
        <f>(0.52+0.6+0.6)/3</f>
        <v>0.57333333333333336</v>
      </c>
      <c r="U46" s="47">
        <v>51.175387999999998</v>
      </c>
      <c r="V46" s="39">
        <v>4.3304999999999998</v>
      </c>
      <c r="W46" s="39">
        <v>1</v>
      </c>
      <c r="X46" s="39" t="s">
        <v>143</v>
      </c>
      <c r="Y46" s="39">
        <v>2</v>
      </c>
      <c r="Z46" s="40">
        <v>422.74</v>
      </c>
      <c r="AA46" s="48">
        <v>7.35</v>
      </c>
      <c r="AB46" s="39">
        <v>6</v>
      </c>
      <c r="AC46" s="39">
        <v>28.4</v>
      </c>
      <c r="AD46" s="39">
        <v>34.4</v>
      </c>
      <c r="AE46" s="39">
        <v>2.6899000000000002</v>
      </c>
      <c r="AF46" s="39">
        <v>2.9600000000000001E-2</v>
      </c>
      <c r="AG46" s="39">
        <v>2E-3</v>
      </c>
      <c r="AH46" s="39">
        <v>1.7821</v>
      </c>
      <c r="AI46" s="39">
        <v>0.3735</v>
      </c>
      <c r="AJ46" s="39">
        <v>0.122</v>
      </c>
      <c r="AK46" s="39">
        <v>7.201874163319947</v>
      </c>
      <c r="AL46" s="40" t="s">
        <v>373</v>
      </c>
      <c r="AM46" s="39" t="s">
        <v>432</v>
      </c>
      <c r="AN46" s="39">
        <v>17.55</v>
      </c>
      <c r="AO46" s="39">
        <v>3.46</v>
      </c>
      <c r="AP46" s="39">
        <v>0</v>
      </c>
      <c r="AQ46" s="39">
        <v>0.63</v>
      </c>
      <c r="AR46" s="20">
        <v>271.89999999999998</v>
      </c>
      <c r="AS46" s="39">
        <v>2.4505957570638528</v>
      </c>
      <c r="AT46" s="39">
        <v>22.074295668786178</v>
      </c>
      <c r="AU46" s="39" t="s">
        <v>357</v>
      </c>
      <c r="AV46" s="39" t="s">
        <v>356</v>
      </c>
      <c r="AW46" s="48">
        <v>4099.4149853069421</v>
      </c>
      <c r="AX46" s="48">
        <v>4131.1442034594711</v>
      </c>
      <c r="AY46" s="48">
        <v>1.2431535248135339</v>
      </c>
      <c r="AZ46" s="48">
        <v>1.2527754561201399</v>
      </c>
      <c r="BA46" s="48">
        <v>643.33855142371226</v>
      </c>
      <c r="BB46" s="48">
        <v>648.31795197652752</v>
      </c>
      <c r="BC46" s="50">
        <v>81.192438361650019</v>
      </c>
      <c r="BD46" s="57">
        <v>0.29018704268323087</v>
      </c>
      <c r="BE46" s="57">
        <v>4.9657651349054921E-2</v>
      </c>
      <c r="BF46" s="48">
        <v>1.2431540000000001</v>
      </c>
      <c r="BG46" s="50">
        <v>81.192438361650019</v>
      </c>
      <c r="BH46" s="57">
        <v>0.29018704268323087</v>
      </c>
      <c r="BI46" s="57">
        <v>4.9657651349054921E-2</v>
      </c>
      <c r="BJ46" s="39" t="s">
        <v>116</v>
      </c>
      <c r="BK46" s="39" t="s">
        <v>318</v>
      </c>
      <c r="BL46" s="39" t="s">
        <v>366</v>
      </c>
      <c r="BM46" s="39"/>
      <c r="BN46" s="93">
        <v>12.045618874252154</v>
      </c>
      <c r="BO46" s="93">
        <v>2.6366381673482491</v>
      </c>
      <c r="BP46" s="39">
        <v>4.0383257641130044</v>
      </c>
      <c r="BQ46" s="39">
        <v>18.323112685025535</v>
      </c>
      <c r="BR46" s="39">
        <v>44.06704205575415</v>
      </c>
      <c r="BS46" s="39">
        <v>1.1490902772872582</v>
      </c>
      <c r="BT46" s="39">
        <v>25.162633355378961</v>
      </c>
      <c r="BU46" s="39">
        <v>63.370528282127552</v>
      </c>
      <c r="BV46" s="52"/>
      <c r="BW46" s="52"/>
      <c r="BX46" s="52"/>
      <c r="BY46" s="52"/>
      <c r="BZ46" s="52"/>
      <c r="CA46" s="52"/>
      <c r="CB46" s="52">
        <v>4.0383257639999997</v>
      </c>
      <c r="CC46" s="52">
        <v>18.323112689999999</v>
      </c>
      <c r="CD46" s="52">
        <v>44.067042059999999</v>
      </c>
      <c r="CE46" s="52">
        <v>1.149090277</v>
      </c>
      <c r="CF46" s="52">
        <v>25.162633360000001</v>
      </c>
      <c r="CG46" s="52">
        <v>63.370528280000002</v>
      </c>
      <c r="CH46" s="39" t="s">
        <v>42</v>
      </c>
      <c r="CI46" s="39" t="s">
        <v>116</v>
      </c>
      <c r="CJ46" s="39" t="s">
        <v>116</v>
      </c>
      <c r="CK46" s="48">
        <v>0.49795308613107964</v>
      </c>
      <c r="CL46" s="48">
        <v>3.3380657913228773E-3</v>
      </c>
      <c r="CM46" s="48">
        <v>0.25222319738212445</v>
      </c>
      <c r="CN46" s="48">
        <v>4.2793039639671938E-2</v>
      </c>
      <c r="CO46" s="48">
        <v>0.19199053595907137</v>
      </c>
      <c r="CP46" s="48">
        <v>0</v>
      </c>
      <c r="CQ46" s="48">
        <v>1.1702075096729776E-2</v>
      </c>
      <c r="CR46" s="39" t="s">
        <v>420</v>
      </c>
      <c r="CS46" s="48">
        <v>0.25556126317344735</v>
      </c>
      <c r="CT46" s="48">
        <v>0.24648565069547307</v>
      </c>
      <c r="CU46" s="39" t="s">
        <v>420</v>
      </c>
      <c r="CV46" s="40" t="s">
        <v>449</v>
      </c>
      <c r="CW46" s="40" t="s">
        <v>449</v>
      </c>
      <c r="CX46" s="40" t="s">
        <v>449</v>
      </c>
      <c r="CY46" s="40" t="s">
        <v>0</v>
      </c>
      <c r="CZ46" s="40" t="s">
        <v>449</v>
      </c>
      <c r="DA46" s="40" t="s">
        <v>449</v>
      </c>
      <c r="DB46" s="40" t="s">
        <v>0</v>
      </c>
      <c r="DC46" s="40" t="s">
        <v>0</v>
      </c>
      <c r="DD46" s="40" t="s">
        <v>449</v>
      </c>
      <c r="DE46" s="40" t="s">
        <v>449</v>
      </c>
      <c r="DF46" s="40" t="s">
        <v>449</v>
      </c>
      <c r="DG46" s="40" t="s">
        <v>0</v>
      </c>
      <c r="DH46" s="74">
        <v>545</v>
      </c>
    </row>
    <row r="47" spans="1:112" x14ac:dyDescent="0.3">
      <c r="A47" s="73">
        <v>2</v>
      </c>
      <c r="B47" s="39" t="s">
        <v>445</v>
      </c>
      <c r="C47" s="39">
        <v>14</v>
      </c>
      <c r="D47" s="39" t="s">
        <v>65</v>
      </c>
      <c r="E47" s="44">
        <v>44426</v>
      </c>
      <c r="F47" s="43">
        <v>0.54999999999999993</v>
      </c>
      <c r="G47" s="39" t="s">
        <v>66</v>
      </c>
      <c r="H47" s="39" t="s">
        <v>34</v>
      </c>
      <c r="I47" s="39">
        <v>20</v>
      </c>
      <c r="J47" s="39">
        <v>7.8689999999999998</v>
      </c>
      <c r="K47" s="39">
        <v>58.2</v>
      </c>
      <c r="L47" s="39">
        <v>5.21</v>
      </c>
      <c r="M47" s="39">
        <v>6.08</v>
      </c>
      <c r="N47" s="39">
        <v>3.3</v>
      </c>
      <c r="O47" s="39" t="s">
        <v>342</v>
      </c>
      <c r="P47" s="39" t="s">
        <v>343</v>
      </c>
      <c r="Q47" s="39" t="s">
        <v>343</v>
      </c>
      <c r="R47" s="39">
        <v>58.2</v>
      </c>
      <c r="S47" s="46" t="s">
        <v>109</v>
      </c>
      <c r="T47" s="46">
        <f>(0.56+0.56+0.57)/3</f>
        <v>0.56333333333333335</v>
      </c>
      <c r="U47" s="47">
        <v>51.196627999999997</v>
      </c>
      <c r="V47" s="39">
        <v>4.3443820000000004</v>
      </c>
      <c r="W47" s="39">
        <v>1</v>
      </c>
      <c r="X47" s="39" t="s">
        <v>143</v>
      </c>
      <c r="Y47" s="39">
        <v>2</v>
      </c>
      <c r="Z47" s="40">
        <v>375.02</v>
      </c>
      <c r="AA47" s="48">
        <v>4.8000000000000007</v>
      </c>
      <c r="AB47" s="39">
        <v>4.0999999999999996</v>
      </c>
      <c r="AC47" s="39">
        <v>33.299999999999997</v>
      </c>
      <c r="AD47" s="39">
        <v>37.4</v>
      </c>
      <c r="AE47" s="39">
        <v>1.3029999999999999</v>
      </c>
      <c r="AF47" s="39">
        <v>2.87E-2</v>
      </c>
      <c r="AG47" s="39">
        <v>2.3E-3</v>
      </c>
      <c r="AH47" s="39">
        <v>1.1817</v>
      </c>
      <c r="AI47" s="39">
        <v>0.37919999999999998</v>
      </c>
      <c r="AJ47" s="39">
        <v>0.1217</v>
      </c>
      <c r="AK47" s="39">
        <v>3.4361814345991561</v>
      </c>
      <c r="AL47" s="40" t="s">
        <v>373</v>
      </c>
      <c r="AM47" s="39" t="s">
        <v>433</v>
      </c>
      <c r="AN47" s="39">
        <v>18.48</v>
      </c>
      <c r="AO47" s="39">
        <v>2.75</v>
      </c>
      <c r="AP47" s="39">
        <v>0</v>
      </c>
      <c r="AQ47" s="39">
        <v>0.63</v>
      </c>
      <c r="AR47" s="20">
        <v>215.7</v>
      </c>
      <c r="AS47" s="39">
        <v>2.5312465638227972</v>
      </c>
      <c r="AT47" s="39">
        <v>22.824377949489506</v>
      </c>
      <c r="AU47" s="39" t="s">
        <v>357</v>
      </c>
      <c r="AV47" s="39" t="s">
        <v>356</v>
      </c>
      <c r="AW47" s="53">
        <v>4179.9082652971192</v>
      </c>
      <c r="AX47" s="53">
        <v>4201.6942974723124</v>
      </c>
      <c r="AY47" s="53">
        <v>59.297704758693868</v>
      </c>
      <c r="AZ47" s="53">
        <v>59.606769365329725</v>
      </c>
      <c r="BA47" s="53">
        <v>605.57065922877166</v>
      </c>
      <c r="BB47" s="53">
        <v>608.72694425441296</v>
      </c>
      <c r="BC47" s="50">
        <v>111.94508480458923</v>
      </c>
      <c r="BD47" s="57">
        <v>0.25519295556645771</v>
      </c>
      <c r="BE47" s="57">
        <v>2.3082978563642765E-2</v>
      </c>
      <c r="BF47" s="48">
        <v>59.297705000000001</v>
      </c>
      <c r="BG47" s="50">
        <v>111.94508480458923</v>
      </c>
      <c r="BH47" s="57">
        <v>0.25519295556645771</v>
      </c>
      <c r="BI47" s="57">
        <v>2.3082978563642765E-2</v>
      </c>
      <c r="BJ47" s="39" t="s">
        <v>116</v>
      </c>
      <c r="BK47" s="39" t="s">
        <v>317</v>
      </c>
      <c r="BL47" s="39" t="s">
        <v>366</v>
      </c>
      <c r="BM47" s="39"/>
      <c r="BN47" s="93">
        <v>11.830394574621511</v>
      </c>
      <c r="BO47" s="93">
        <v>2.9774913125132549</v>
      </c>
      <c r="BP47" s="39"/>
      <c r="BQ47" s="39"/>
      <c r="BR47" s="39"/>
      <c r="BS47" s="39">
        <v>3.1010298392965563</v>
      </c>
      <c r="BT47" s="39">
        <v>26.934142190365819</v>
      </c>
      <c r="BU47" s="39">
        <v>64.345763457747893</v>
      </c>
      <c r="BV47" s="52"/>
      <c r="BW47" s="52"/>
      <c r="BX47" s="52"/>
      <c r="BY47" s="52"/>
      <c r="BZ47" s="52"/>
      <c r="CA47" s="52"/>
      <c r="CB47" s="52"/>
      <c r="CC47" s="52"/>
      <c r="CD47" s="52"/>
      <c r="CE47" s="52">
        <v>3.1010298390000002</v>
      </c>
      <c r="CF47" s="52">
        <v>26.934142189999999</v>
      </c>
      <c r="CG47" s="52">
        <v>64.345763460000001</v>
      </c>
      <c r="CH47" s="39" t="s">
        <v>36</v>
      </c>
      <c r="CI47" s="39" t="s">
        <v>116</v>
      </c>
      <c r="CJ47" s="39" t="s">
        <v>116</v>
      </c>
      <c r="CK47" s="48">
        <v>0.32881437101162508</v>
      </c>
      <c r="CL47" s="48">
        <v>1.1351235982179253E-3</v>
      </c>
      <c r="CM47" s="48">
        <v>0.16077749772320526</v>
      </c>
      <c r="CN47" s="48">
        <v>5.1446902089484162E-3</v>
      </c>
      <c r="CO47" s="48">
        <v>0.47469456609573085</v>
      </c>
      <c r="CP47" s="48">
        <v>0</v>
      </c>
      <c r="CQ47" s="48">
        <v>2.943375136227231E-2</v>
      </c>
      <c r="CR47" s="39" t="s">
        <v>416</v>
      </c>
      <c r="CS47" s="48">
        <v>0.1619126213214232</v>
      </c>
      <c r="CT47" s="48">
        <v>0.5092730076669516</v>
      </c>
      <c r="CU47" s="39" t="s">
        <v>42</v>
      </c>
      <c r="CV47" s="40" t="s">
        <v>0</v>
      </c>
      <c r="CW47" s="40" t="s">
        <v>0</v>
      </c>
      <c r="CX47" s="40" t="s">
        <v>0</v>
      </c>
      <c r="CY47" s="40" t="s">
        <v>449</v>
      </c>
      <c r="CZ47" s="40" t="s">
        <v>0</v>
      </c>
      <c r="DA47" s="40" t="s">
        <v>0</v>
      </c>
      <c r="DB47" s="40" t="s">
        <v>0</v>
      </c>
      <c r="DC47" s="40" t="s">
        <v>0</v>
      </c>
      <c r="DD47" s="40" t="s">
        <v>0</v>
      </c>
      <c r="DE47" s="40" t="s">
        <v>0</v>
      </c>
      <c r="DF47" s="40" t="s">
        <v>0</v>
      </c>
      <c r="DG47" s="40" t="s">
        <v>0</v>
      </c>
      <c r="DH47" s="74">
        <v>1655</v>
      </c>
    </row>
    <row r="48" spans="1:112" x14ac:dyDescent="0.3">
      <c r="A48" s="73">
        <v>2</v>
      </c>
      <c r="B48" s="39" t="s">
        <v>445</v>
      </c>
      <c r="C48" s="39">
        <v>15</v>
      </c>
      <c r="D48" s="39" t="s">
        <v>67</v>
      </c>
      <c r="E48" s="44">
        <v>44426</v>
      </c>
      <c r="F48" s="43">
        <v>0.41388888888888892</v>
      </c>
      <c r="G48" s="39" t="s">
        <v>68</v>
      </c>
      <c r="H48" s="39" t="s">
        <v>34</v>
      </c>
      <c r="I48" s="39">
        <v>19.8</v>
      </c>
      <c r="J48" s="39">
        <v>7.89</v>
      </c>
      <c r="K48" s="39">
        <v>56.8</v>
      </c>
      <c r="L48" s="39">
        <v>5.15</v>
      </c>
      <c r="M48" s="39">
        <v>2.64</v>
      </c>
      <c r="N48" s="39">
        <v>1.3</v>
      </c>
      <c r="O48" s="39" t="s">
        <v>342</v>
      </c>
      <c r="P48" s="39" t="s">
        <v>343</v>
      </c>
      <c r="Q48" s="39" t="s">
        <v>343</v>
      </c>
      <c r="R48" s="39">
        <v>103.2</v>
      </c>
      <c r="S48" s="46" t="s">
        <v>109</v>
      </c>
      <c r="T48" s="46">
        <f>(0.54+0.48+0.49)/3</f>
        <v>0.5033333333333333</v>
      </c>
      <c r="U48" s="47">
        <v>51.224416750945402</v>
      </c>
      <c r="V48" s="39">
        <v>4.3924785210664004</v>
      </c>
      <c r="W48" s="39">
        <v>1</v>
      </c>
      <c r="X48" s="39" t="s">
        <v>143</v>
      </c>
      <c r="Y48" s="39">
        <v>2</v>
      </c>
      <c r="Z48" s="40">
        <v>379.12</v>
      </c>
      <c r="AA48" s="48">
        <v>8.17</v>
      </c>
      <c r="AB48" s="39">
        <v>6.6</v>
      </c>
      <c r="AC48" s="39">
        <v>38</v>
      </c>
      <c r="AD48" s="39">
        <v>44.5</v>
      </c>
      <c r="AE48" s="40">
        <v>2.6589999999999998</v>
      </c>
      <c r="AF48" s="39">
        <v>3.4299999999999997E-2</v>
      </c>
      <c r="AG48" s="39">
        <v>3.8E-3</v>
      </c>
      <c r="AH48" s="39">
        <v>2.0169000000000001</v>
      </c>
      <c r="AI48" s="39">
        <v>0.33889999999999998</v>
      </c>
      <c r="AJ48" s="39">
        <v>0.1158</v>
      </c>
      <c r="AK48" s="39">
        <v>7.8459722632044846</v>
      </c>
      <c r="AL48" s="40" t="s">
        <v>373</v>
      </c>
      <c r="AM48" s="39" t="s">
        <v>432</v>
      </c>
      <c r="AN48" s="49">
        <v>16.7</v>
      </c>
      <c r="AO48" s="49">
        <v>4</v>
      </c>
      <c r="AP48" s="39">
        <v>0</v>
      </c>
      <c r="AQ48" s="39">
        <v>0.63</v>
      </c>
      <c r="AR48" s="20">
        <v>136.30000000000001</v>
      </c>
      <c r="AS48" s="39">
        <v>2.8255131128840225</v>
      </c>
      <c r="AT48" s="39">
        <v>21.679741724025902</v>
      </c>
      <c r="AU48" s="39" t="s">
        <v>357</v>
      </c>
      <c r="AV48" s="39" t="s">
        <v>356</v>
      </c>
      <c r="AW48" s="48">
        <v>3521.460522931347</v>
      </c>
      <c r="AX48" s="48">
        <v>3559.1232023209891</v>
      </c>
      <c r="AY48" s="48">
        <v>1.3520880768486052</v>
      </c>
      <c r="AZ48" s="48">
        <v>1.3665489118951146</v>
      </c>
      <c r="BA48" s="48">
        <v>465.93115893101105</v>
      </c>
      <c r="BB48" s="48">
        <v>470.91437988214454</v>
      </c>
      <c r="BC48" s="50">
        <v>127.88271445775791</v>
      </c>
      <c r="BD48" s="57">
        <v>0.2561295819363546</v>
      </c>
      <c r="BE48" s="57">
        <v>3.1557383257993343E-2</v>
      </c>
      <c r="BF48" s="48">
        <v>1.352088</v>
      </c>
      <c r="BG48" s="50">
        <v>127.88271445775791</v>
      </c>
      <c r="BH48" s="57">
        <v>0.2561295819363546</v>
      </c>
      <c r="BI48" s="57">
        <v>3.1557383257993343E-2</v>
      </c>
      <c r="BJ48" s="39" t="s">
        <v>39</v>
      </c>
      <c r="BK48" s="39" t="s">
        <v>318</v>
      </c>
      <c r="BL48" s="39" t="s">
        <v>366</v>
      </c>
      <c r="BM48" s="39"/>
      <c r="BN48" s="93">
        <v>11.791281196623901</v>
      </c>
      <c r="BO48" s="93">
        <v>2.9531484887343229</v>
      </c>
      <c r="BP48" s="39">
        <v>4.3749640816801323</v>
      </c>
      <c r="BQ48" s="39">
        <v>18.973266419062327</v>
      </c>
      <c r="BR48" s="39">
        <v>44.51186254266505</v>
      </c>
      <c r="BS48" s="39">
        <v>1.8889038880040516</v>
      </c>
      <c r="BT48" s="39">
        <v>25.030328478462636</v>
      </c>
      <c r="BU48" s="39">
        <v>63.003254979337818</v>
      </c>
      <c r="BV48" s="52"/>
      <c r="BW48" s="52"/>
      <c r="BX48" s="52"/>
      <c r="BY48" s="52"/>
      <c r="BZ48" s="52"/>
      <c r="CA48" s="52"/>
      <c r="CB48" s="52">
        <v>4.374964082</v>
      </c>
      <c r="CC48" s="52">
        <v>18.973266420000002</v>
      </c>
      <c r="CD48" s="52">
        <v>44.511862540000003</v>
      </c>
      <c r="CE48" s="52">
        <v>1.888903888</v>
      </c>
      <c r="CF48" s="52">
        <v>25.030328480000001</v>
      </c>
      <c r="CG48" s="52">
        <v>63.003254980000001</v>
      </c>
      <c r="CH48" s="39" t="s">
        <v>39</v>
      </c>
      <c r="CI48" s="39" t="s">
        <v>39</v>
      </c>
      <c r="CJ48" s="39" t="s">
        <v>39</v>
      </c>
      <c r="CK48" s="48">
        <v>0.63878527315024292</v>
      </c>
      <c r="CL48" s="48">
        <v>2.4575089211857099E-3</v>
      </c>
      <c r="CM48" s="48">
        <v>0.17828977367538562</v>
      </c>
      <c r="CN48" s="48">
        <v>6.6566902869503071E-3</v>
      </c>
      <c r="CO48" s="48">
        <v>0.16044356519046585</v>
      </c>
      <c r="CP48" s="48">
        <v>0</v>
      </c>
      <c r="CQ48" s="48">
        <v>1.3367188775769714E-2</v>
      </c>
      <c r="CR48" s="39" t="s">
        <v>420</v>
      </c>
      <c r="CS48" s="48">
        <v>0.18074728259657133</v>
      </c>
      <c r="CT48" s="48">
        <v>0.18046744425318589</v>
      </c>
      <c r="CU48" s="39" t="s">
        <v>420</v>
      </c>
      <c r="CV48" s="40" t="s">
        <v>449</v>
      </c>
      <c r="CW48" s="40" t="s">
        <v>449</v>
      </c>
      <c r="CX48" s="40" t="s">
        <v>449</v>
      </c>
      <c r="CY48" s="40" t="s">
        <v>0</v>
      </c>
      <c r="CZ48" s="40" t="s">
        <v>449</v>
      </c>
      <c r="DA48" s="40" t="s">
        <v>449</v>
      </c>
      <c r="DB48" s="40" t="s">
        <v>449</v>
      </c>
      <c r="DC48" s="40" t="s">
        <v>0</v>
      </c>
      <c r="DD48" s="40" t="s">
        <v>449</v>
      </c>
      <c r="DE48" s="40" t="s">
        <v>449</v>
      </c>
      <c r="DF48" s="40" t="s">
        <v>449</v>
      </c>
      <c r="DG48" s="40" t="s">
        <v>0</v>
      </c>
      <c r="DH48" s="74">
        <v>482</v>
      </c>
    </row>
    <row r="49" spans="1:112" x14ac:dyDescent="0.3">
      <c r="A49" s="73">
        <v>2</v>
      </c>
      <c r="B49" s="39" t="s">
        <v>445</v>
      </c>
      <c r="C49" s="39">
        <v>16</v>
      </c>
      <c r="D49" s="39" t="s">
        <v>69</v>
      </c>
      <c r="E49" s="44">
        <v>44427</v>
      </c>
      <c r="F49" s="43">
        <v>0.70347222222222217</v>
      </c>
      <c r="G49" s="39" t="s">
        <v>70</v>
      </c>
      <c r="H49" s="39" t="s">
        <v>34</v>
      </c>
      <c r="I49" s="39">
        <v>20.2</v>
      </c>
      <c r="J49" s="39">
        <v>7.8620000000000001</v>
      </c>
      <c r="K49" s="39">
        <v>59.3</v>
      </c>
      <c r="L49" s="39">
        <v>5.22</v>
      </c>
      <c r="M49" s="39">
        <v>8.76</v>
      </c>
      <c r="N49" s="39">
        <v>4.9000000000000004</v>
      </c>
      <c r="O49" s="39" t="s">
        <v>342</v>
      </c>
      <c r="P49" s="39" t="s">
        <v>343</v>
      </c>
      <c r="Q49" s="39" t="s">
        <v>343</v>
      </c>
      <c r="R49" s="39">
        <v>256.8</v>
      </c>
      <c r="S49" s="46" t="s">
        <v>109</v>
      </c>
      <c r="T49" s="46">
        <f>(1.05+1.02+0.99)/3</f>
        <v>1.0200000000000002</v>
      </c>
      <c r="U49" s="47">
        <v>51.234163383876002</v>
      </c>
      <c r="V49" s="39">
        <v>4.3969127627314597</v>
      </c>
      <c r="W49" s="39">
        <v>1</v>
      </c>
      <c r="X49" s="39" t="s">
        <v>143</v>
      </c>
      <c r="Y49" s="39">
        <v>2</v>
      </c>
      <c r="Z49" s="40">
        <v>384.78</v>
      </c>
      <c r="AA49" s="48">
        <v>4.46</v>
      </c>
      <c r="AB49" s="39">
        <v>14.6</v>
      </c>
      <c r="AC49" s="39">
        <v>38.1</v>
      </c>
      <c r="AD49" s="39">
        <v>52.7</v>
      </c>
      <c r="AE49" s="40">
        <v>2.0609000000000002</v>
      </c>
      <c r="AF49" s="39">
        <v>2.9700000000000001E-2</v>
      </c>
      <c r="AG49" s="39">
        <v>1.04E-2</v>
      </c>
      <c r="AH49" s="40">
        <v>2.1831999999999998</v>
      </c>
      <c r="AI49" s="39">
        <v>0.81469999999999998</v>
      </c>
      <c r="AJ49" s="39">
        <v>0.1333</v>
      </c>
      <c r="AK49" s="39">
        <v>2.5296428133055113</v>
      </c>
      <c r="AL49" s="40" t="s">
        <v>372</v>
      </c>
      <c r="AM49" s="39" t="s">
        <v>433</v>
      </c>
      <c r="AN49" s="49">
        <v>18.5</v>
      </c>
      <c r="AO49" s="49">
        <v>4</v>
      </c>
      <c r="AP49" s="39">
        <v>0</v>
      </c>
      <c r="AQ49" s="39">
        <v>0</v>
      </c>
      <c r="AR49" s="20">
        <v>174.1</v>
      </c>
      <c r="AS49" s="39">
        <v>3.0156322282592334</v>
      </c>
      <c r="AT49" s="39">
        <v>16.717665671257809</v>
      </c>
      <c r="AU49" s="39" t="s">
        <v>357</v>
      </c>
      <c r="AV49" s="39" t="s">
        <v>356</v>
      </c>
      <c r="AW49" s="48">
        <v>7019.0212422212708</v>
      </c>
      <c r="AX49" s="48">
        <v>7059.9344467876199</v>
      </c>
      <c r="AY49" s="48">
        <v>1.4417949520173383</v>
      </c>
      <c r="AZ49" s="48">
        <v>1.4501990371139586</v>
      </c>
      <c r="BA49" s="48">
        <v>1036.7228323788029</v>
      </c>
      <c r="BB49" s="48">
        <v>1042.7657907708617</v>
      </c>
      <c r="BC49" s="50">
        <v>72.022502012065345</v>
      </c>
      <c r="BD49" s="57">
        <v>0.32513183376084931</v>
      </c>
      <c r="BE49" s="57">
        <v>3.744307684092206E-2</v>
      </c>
      <c r="BF49" s="48">
        <v>1.4417949999999999</v>
      </c>
      <c r="BG49" s="50">
        <v>72.022502012065345</v>
      </c>
      <c r="BH49" s="57">
        <v>0.32513183376084931</v>
      </c>
      <c r="BI49" s="57">
        <v>3.744307684092206E-2</v>
      </c>
      <c r="BJ49" s="39" t="s">
        <v>39</v>
      </c>
      <c r="BK49" s="39" t="s">
        <v>319</v>
      </c>
      <c r="BL49" s="39" t="s">
        <v>366</v>
      </c>
      <c r="BM49" s="39"/>
      <c r="BN49" s="93">
        <v>11.313364308755155</v>
      </c>
      <c r="BO49" s="93">
        <v>2.0431859046750773</v>
      </c>
      <c r="BP49" s="39">
        <v>-8.7795333646891542</v>
      </c>
      <c r="BQ49" s="39">
        <v>26.510193838253031</v>
      </c>
      <c r="BR49" s="39">
        <v>34.185146346458374</v>
      </c>
      <c r="BS49" s="39">
        <v>3.7662340282761826</v>
      </c>
      <c r="BT49" s="39">
        <v>24.19528585572246</v>
      </c>
      <c r="BU49" s="39">
        <v>59.424596151987231</v>
      </c>
      <c r="BV49" s="52"/>
      <c r="BW49" s="52"/>
      <c r="BX49" s="52"/>
      <c r="BY49" s="52"/>
      <c r="BZ49" s="52"/>
      <c r="CA49" s="52"/>
      <c r="CB49" s="52">
        <v>-8.7795333650000007</v>
      </c>
      <c r="CC49" s="52">
        <v>26.510193839999999</v>
      </c>
      <c r="CD49" s="52">
        <v>34.185146349999997</v>
      </c>
      <c r="CE49" s="52">
        <v>3.766234028</v>
      </c>
      <c r="CF49" s="52">
        <v>24.195285859999998</v>
      </c>
      <c r="CG49" s="52">
        <v>59.424596149999999</v>
      </c>
      <c r="CH49" s="39" t="s">
        <v>39</v>
      </c>
      <c r="CI49" s="39" t="s">
        <v>50</v>
      </c>
      <c r="CJ49" s="39" t="s">
        <v>39</v>
      </c>
      <c r="CK49" s="48">
        <v>0.61224259512991064</v>
      </c>
      <c r="CL49" s="48">
        <v>2.405203976768468E-3</v>
      </c>
      <c r="CM49" s="48">
        <v>0.1766700393370467</v>
      </c>
      <c r="CN49" s="48">
        <v>7.1048669815422906E-3</v>
      </c>
      <c r="CO49" s="48">
        <v>0.17628072400970349</v>
      </c>
      <c r="CP49" s="48">
        <v>0</v>
      </c>
      <c r="CQ49" s="48">
        <v>2.5296570565028466E-2</v>
      </c>
      <c r="CR49" s="39" t="s">
        <v>420</v>
      </c>
      <c r="CS49" s="48">
        <v>0.17907524331381516</v>
      </c>
      <c r="CT49" s="48">
        <v>0.20868216155627423</v>
      </c>
      <c r="CU49" s="39" t="s">
        <v>420</v>
      </c>
      <c r="CV49" s="40" t="s">
        <v>0</v>
      </c>
      <c r="CW49" s="40" t="s">
        <v>0</v>
      </c>
      <c r="CX49" s="40" t="s">
        <v>449</v>
      </c>
      <c r="CY49" s="40" t="s">
        <v>0</v>
      </c>
      <c r="CZ49" s="40" t="s">
        <v>449</v>
      </c>
      <c r="DA49" s="40" t="s">
        <v>449</v>
      </c>
      <c r="DB49" s="40" t="s">
        <v>449</v>
      </c>
      <c r="DC49" s="40" t="s">
        <v>0</v>
      </c>
      <c r="DD49" s="40" t="s">
        <v>0</v>
      </c>
      <c r="DE49" s="40" t="s">
        <v>449</v>
      </c>
      <c r="DF49" s="40" t="s">
        <v>449</v>
      </c>
      <c r="DG49" s="40" t="s">
        <v>0</v>
      </c>
      <c r="DH49" s="74">
        <v>907</v>
      </c>
    </row>
    <row r="50" spans="1:112" x14ac:dyDescent="0.3">
      <c r="A50" s="73">
        <v>2</v>
      </c>
      <c r="B50" s="39" t="s">
        <v>445</v>
      </c>
      <c r="C50" s="39">
        <v>17</v>
      </c>
      <c r="D50" s="39" t="s">
        <v>104</v>
      </c>
      <c r="E50" s="44">
        <v>44427</v>
      </c>
      <c r="F50" s="43">
        <v>0.6333333333333333</v>
      </c>
      <c r="G50" s="39" t="s">
        <v>71</v>
      </c>
      <c r="H50" s="39" t="s">
        <v>34</v>
      </c>
      <c r="I50" s="39">
        <v>19.8</v>
      </c>
      <c r="J50" s="39">
        <v>7.9379999999999997</v>
      </c>
      <c r="K50" s="39">
        <v>69.599999999999994</v>
      </c>
      <c r="L50" s="39">
        <v>6.15</v>
      </c>
      <c r="M50" s="39">
        <v>10.11</v>
      </c>
      <c r="N50" s="39">
        <v>5.7</v>
      </c>
      <c r="O50" s="39" t="s">
        <v>342</v>
      </c>
      <c r="P50" s="39" t="s">
        <v>344</v>
      </c>
      <c r="Q50" s="39" t="s">
        <v>344</v>
      </c>
      <c r="R50" s="39">
        <v>143.69999999999999</v>
      </c>
      <c r="S50" s="46" t="s">
        <v>109</v>
      </c>
      <c r="T50" s="46">
        <f>(0.99+0.92+0.9)/3</f>
        <v>0.93666666666666665</v>
      </c>
      <c r="U50" s="47">
        <v>51.240589999999997</v>
      </c>
      <c r="V50" s="39">
        <v>4.3812439999999997</v>
      </c>
      <c r="W50" s="39">
        <v>1</v>
      </c>
      <c r="X50" s="39" t="s">
        <v>143</v>
      </c>
      <c r="Y50" s="39">
        <v>2</v>
      </c>
      <c r="Z50" s="40">
        <v>430.9</v>
      </c>
      <c r="AA50" s="48">
        <v>9.0300000000000011</v>
      </c>
      <c r="AB50" s="39">
        <v>9.9</v>
      </c>
      <c r="AC50" s="39">
        <v>39.4</v>
      </c>
      <c r="AD50" s="39">
        <v>49.3</v>
      </c>
      <c r="AE50" s="40">
        <v>1.6479999999999999</v>
      </c>
      <c r="AF50" s="39">
        <v>2.98E-2</v>
      </c>
      <c r="AG50" s="39">
        <v>4.5999999999999999E-3</v>
      </c>
      <c r="AH50" s="39">
        <v>0.85229999999999995</v>
      </c>
      <c r="AI50" s="39">
        <v>0.45500000000000002</v>
      </c>
      <c r="AJ50" s="39">
        <v>0.11119999999999999</v>
      </c>
      <c r="AK50" s="39">
        <v>3.6219780219780215</v>
      </c>
      <c r="AL50" s="40" t="s">
        <v>373</v>
      </c>
      <c r="AM50" s="39" t="s">
        <v>433</v>
      </c>
      <c r="AN50" s="49">
        <v>17.7</v>
      </c>
      <c r="AO50" s="49">
        <v>4</v>
      </c>
      <c r="AP50" s="39">
        <v>0</v>
      </c>
      <c r="AQ50" s="39">
        <v>0</v>
      </c>
      <c r="AR50" s="20">
        <v>196</v>
      </c>
      <c r="AS50" s="39">
        <v>2.6280015750643964</v>
      </c>
      <c r="AT50" s="39">
        <v>17.009928866302729</v>
      </c>
      <c r="AU50" s="39" t="s">
        <v>357</v>
      </c>
      <c r="AV50" s="39" t="s">
        <v>356</v>
      </c>
      <c r="AW50" s="48">
        <v>2253.4716538411844</v>
      </c>
      <c r="AX50" s="48">
        <v>2269.7422072985219</v>
      </c>
      <c r="AY50" s="48">
        <v>1.3144428025120494</v>
      </c>
      <c r="AZ50" s="48">
        <v>1.3239333642630389</v>
      </c>
      <c r="BA50" s="48">
        <v>355.06091962900689</v>
      </c>
      <c r="BB50" s="48">
        <v>357.62453637723092</v>
      </c>
      <c r="BC50" s="50">
        <v>157.67538955019123</v>
      </c>
      <c r="BD50" s="57">
        <v>0.35289787643860965</v>
      </c>
      <c r="BE50" s="57">
        <v>3.0381072928963245E-2</v>
      </c>
      <c r="BF50" s="48">
        <v>1.314443</v>
      </c>
      <c r="BG50" s="50">
        <v>157.67538955019123</v>
      </c>
      <c r="BH50" s="57">
        <v>0.35289787643860965</v>
      </c>
      <c r="BI50" s="57">
        <v>3.0381072928963245E-2</v>
      </c>
      <c r="BJ50" s="39" t="s">
        <v>42</v>
      </c>
      <c r="BK50" s="39" t="s">
        <v>318</v>
      </c>
      <c r="BL50" s="39" t="s">
        <v>366</v>
      </c>
      <c r="BM50" s="39"/>
      <c r="BN50" s="93">
        <v>11.519222267880457</v>
      </c>
      <c r="BO50" s="93">
        <v>3.2387824175567217</v>
      </c>
      <c r="BP50" s="39">
        <v>-1.068425263595002</v>
      </c>
      <c r="BQ50" s="39">
        <v>21.926292880997281</v>
      </c>
      <c r="BR50" s="39">
        <v>39.060281471932718</v>
      </c>
      <c r="BS50" s="39">
        <v>2.4020210442770722</v>
      </c>
      <c r="BT50" s="39">
        <v>30.174878784309868</v>
      </c>
      <c r="BU50" s="39">
        <v>72.481919295318761</v>
      </c>
      <c r="BV50" s="52"/>
      <c r="BW50" s="52"/>
      <c r="BX50" s="52"/>
      <c r="BY50" s="52"/>
      <c r="BZ50" s="52"/>
      <c r="CA50" s="52"/>
      <c r="CB50" s="52">
        <v>-1.068425264</v>
      </c>
      <c r="CC50" s="52">
        <v>21.926292879999998</v>
      </c>
      <c r="CD50" s="52">
        <v>39.06028147</v>
      </c>
      <c r="CE50" s="52">
        <v>2.402021044</v>
      </c>
      <c r="CF50" s="52">
        <v>30.17487878</v>
      </c>
      <c r="CG50" s="52">
        <v>72.481919300000001</v>
      </c>
      <c r="CH50" s="39" t="s">
        <v>47</v>
      </c>
      <c r="CI50" s="39" t="s">
        <v>47</v>
      </c>
      <c r="CJ50" s="39" t="s">
        <v>47</v>
      </c>
      <c r="CK50" s="48">
        <v>0.45535301079032503</v>
      </c>
      <c r="CL50" s="48">
        <v>5.5181834675876356E-3</v>
      </c>
      <c r="CM50" s="48">
        <v>0.17610541688342563</v>
      </c>
      <c r="CN50" s="48">
        <v>1.3204088265462845E-2</v>
      </c>
      <c r="CO50" s="48">
        <v>0.29809954451453058</v>
      </c>
      <c r="CP50" s="48">
        <v>0</v>
      </c>
      <c r="CQ50" s="48">
        <v>5.1719756078668369E-2</v>
      </c>
      <c r="CR50" s="39" t="s">
        <v>420</v>
      </c>
      <c r="CS50" s="48">
        <v>0.18162360035101327</v>
      </c>
      <c r="CT50" s="48">
        <v>0.36302338885866176</v>
      </c>
      <c r="CU50" s="39" t="s">
        <v>420</v>
      </c>
      <c r="CV50" s="40" t="s">
        <v>0</v>
      </c>
      <c r="CW50" s="40" t="s">
        <v>0</v>
      </c>
      <c r="CX50" s="40" t="s">
        <v>0</v>
      </c>
      <c r="CY50" s="40" t="s">
        <v>0</v>
      </c>
      <c r="CZ50" s="40" t="s">
        <v>0</v>
      </c>
      <c r="DA50" s="40" t="s">
        <v>0</v>
      </c>
      <c r="DB50" s="40" t="s">
        <v>0</v>
      </c>
      <c r="DC50" s="40" t="s">
        <v>0</v>
      </c>
      <c r="DD50" s="40" t="s">
        <v>0</v>
      </c>
      <c r="DE50" s="40" t="s">
        <v>0</v>
      </c>
      <c r="DF50" s="40" t="s">
        <v>0</v>
      </c>
      <c r="DG50" s="40" t="s">
        <v>0</v>
      </c>
      <c r="DH50" s="74">
        <v>1690</v>
      </c>
    </row>
    <row r="51" spans="1:112" x14ac:dyDescent="0.3">
      <c r="A51" s="73">
        <v>2</v>
      </c>
      <c r="B51" s="39" t="s">
        <v>445</v>
      </c>
      <c r="C51" s="39">
        <v>18</v>
      </c>
      <c r="D51" s="39" t="s">
        <v>72</v>
      </c>
      <c r="E51" s="44">
        <v>44427</v>
      </c>
      <c r="F51" s="43">
        <v>0.49027777777777781</v>
      </c>
      <c r="G51" s="39" t="s">
        <v>73</v>
      </c>
      <c r="H51" s="39" t="s">
        <v>34</v>
      </c>
      <c r="I51" s="39">
        <v>20.3</v>
      </c>
      <c r="J51" s="39">
        <v>7.8949999999999996</v>
      </c>
      <c r="K51" s="39">
        <v>65.5</v>
      </c>
      <c r="L51" s="39">
        <v>5.81</v>
      </c>
      <c r="M51" s="39">
        <v>7.15</v>
      </c>
      <c r="N51" s="39">
        <v>3.9</v>
      </c>
      <c r="O51" s="39" t="s">
        <v>342</v>
      </c>
      <c r="P51" s="39" t="s">
        <v>343</v>
      </c>
      <c r="Q51" s="39" t="s">
        <v>343</v>
      </c>
      <c r="R51" s="39">
        <v>23.7</v>
      </c>
      <c r="S51" s="46" t="s">
        <v>109</v>
      </c>
      <c r="T51" s="46">
        <f>(0.38+0.38+0.4)/3</f>
        <v>0.38666666666666671</v>
      </c>
      <c r="U51" s="47">
        <v>51.249890600997503</v>
      </c>
      <c r="V51" s="39">
        <v>4.3109073639491502</v>
      </c>
      <c r="W51" s="39">
        <v>1</v>
      </c>
      <c r="X51" s="39" t="s">
        <v>143</v>
      </c>
      <c r="Y51" s="39">
        <v>2</v>
      </c>
      <c r="Z51" s="40">
        <v>784.1</v>
      </c>
      <c r="AA51" s="48">
        <v>9.0100002098083394</v>
      </c>
      <c r="AB51" s="39">
        <v>5.7</v>
      </c>
      <c r="AC51" s="39">
        <v>33.5</v>
      </c>
      <c r="AD51" s="39">
        <v>39.200000000000003</v>
      </c>
      <c r="AE51" s="40">
        <v>1.9240999999999999</v>
      </c>
      <c r="AF51" s="40">
        <v>3.1199999999999999E-2</v>
      </c>
      <c r="AG51" s="39">
        <v>7.1000000000000004E-3</v>
      </c>
      <c r="AH51" s="40">
        <v>1.746</v>
      </c>
      <c r="AI51" s="39">
        <v>0.16700000000000001</v>
      </c>
      <c r="AJ51" s="39">
        <v>0.14360000000000001</v>
      </c>
      <c r="AK51" s="39">
        <v>11.521556886227543</v>
      </c>
      <c r="AL51" s="40" t="s">
        <v>373</v>
      </c>
      <c r="AM51" s="39" t="s">
        <v>432</v>
      </c>
      <c r="AN51" s="39">
        <v>18.350000000000001</v>
      </c>
      <c r="AO51" s="39">
        <v>2.48</v>
      </c>
      <c r="AP51" s="39">
        <v>0</v>
      </c>
      <c r="AQ51" s="39">
        <v>0</v>
      </c>
      <c r="AR51" s="20">
        <v>278.8</v>
      </c>
      <c r="AS51" s="39">
        <v>2.4057921824053468</v>
      </c>
      <c r="AT51" s="39">
        <v>49.456143736602826</v>
      </c>
      <c r="AU51" s="39" t="s">
        <v>357</v>
      </c>
      <c r="AV51" s="39" t="s">
        <v>356</v>
      </c>
      <c r="AW51" s="48">
        <v>936.6485810961376</v>
      </c>
      <c r="AX51" s="48">
        <v>942.91432632130909</v>
      </c>
      <c r="AY51" s="48">
        <v>0.4647510361435489</v>
      </c>
      <c r="AZ51" s="48">
        <v>0.4678600053390205</v>
      </c>
      <c r="BA51" s="48">
        <v>64.602399144677008</v>
      </c>
      <c r="BB51" s="48">
        <v>65.034559276176523</v>
      </c>
      <c r="BC51" s="50">
        <v>109.93479778448493</v>
      </c>
      <c r="BD51" s="57">
        <v>0.35905373016777042</v>
      </c>
      <c r="BE51" s="57">
        <v>2.532790883946779E-2</v>
      </c>
      <c r="BF51" s="48">
        <v>0.46475100000000003</v>
      </c>
      <c r="BG51" s="50">
        <v>109.93479778448493</v>
      </c>
      <c r="BH51" s="57">
        <v>0.35905373016777042</v>
      </c>
      <c r="BI51" s="57">
        <v>2.532790883946779E-2</v>
      </c>
      <c r="BJ51" s="39" t="s">
        <v>116</v>
      </c>
      <c r="BK51" s="40" t="s">
        <v>318</v>
      </c>
      <c r="BL51" s="39" t="s">
        <v>366</v>
      </c>
      <c r="BM51" s="39"/>
      <c r="BN51" s="93">
        <v>11.510163105411635</v>
      </c>
      <c r="BO51" s="93">
        <v>2.932663027890861</v>
      </c>
      <c r="BP51" s="39"/>
      <c r="BQ51" s="39"/>
      <c r="BR51" s="39"/>
      <c r="BS51" s="39"/>
      <c r="BT51" s="39"/>
      <c r="BU51" s="39"/>
      <c r="BV51" s="52"/>
      <c r="BW51" s="52"/>
      <c r="BX51" s="52"/>
      <c r="BY51" s="52"/>
      <c r="BZ51" s="52"/>
      <c r="CA51" s="52"/>
      <c r="CB51" s="52"/>
      <c r="CC51" s="52"/>
      <c r="CD51" s="52"/>
      <c r="CE51" s="52"/>
      <c r="CF51" s="52"/>
      <c r="CG51" s="52"/>
      <c r="CH51" s="39" t="s">
        <v>116</v>
      </c>
      <c r="CI51" s="39" t="s">
        <v>116</v>
      </c>
      <c r="CJ51" s="39" t="s">
        <v>116</v>
      </c>
      <c r="CK51" s="48">
        <v>0.32270033134412668</v>
      </c>
      <c r="CL51" s="48">
        <v>1.7785364528895287E-2</v>
      </c>
      <c r="CM51" s="48">
        <v>0.32340890745343065</v>
      </c>
      <c r="CN51" s="48">
        <v>7.3123063382544004E-3</v>
      </c>
      <c r="CO51" s="48">
        <v>0.26546414397673879</v>
      </c>
      <c r="CP51" s="48">
        <v>1.1228864989799688E-5</v>
      </c>
      <c r="CQ51" s="48">
        <v>6.3317717493564296E-2</v>
      </c>
      <c r="CR51" s="39" t="s">
        <v>420</v>
      </c>
      <c r="CS51" s="48">
        <v>0.34119427198232594</v>
      </c>
      <c r="CT51" s="48">
        <v>0.33610539667354727</v>
      </c>
      <c r="CU51" s="39" t="s">
        <v>420</v>
      </c>
      <c r="CV51" s="40" t="s">
        <v>0</v>
      </c>
      <c r="CW51" s="40" t="s">
        <v>0</v>
      </c>
      <c r="CX51" s="40" t="s">
        <v>0</v>
      </c>
      <c r="CY51" s="40" t="s">
        <v>449</v>
      </c>
      <c r="CZ51" s="40" t="s">
        <v>0</v>
      </c>
      <c r="DA51" s="40" t="s">
        <v>0</v>
      </c>
      <c r="DB51" s="40" t="s">
        <v>0</v>
      </c>
      <c r="DC51" s="40" t="s">
        <v>449</v>
      </c>
      <c r="DD51" s="40" t="s">
        <v>0</v>
      </c>
      <c r="DE51" s="40" t="s">
        <v>0</v>
      </c>
      <c r="DF51" s="40" t="s">
        <v>0</v>
      </c>
      <c r="DG51" s="40" t="s">
        <v>449</v>
      </c>
      <c r="DH51" s="74">
        <v>1950</v>
      </c>
    </row>
    <row r="52" spans="1:112" x14ac:dyDescent="0.3">
      <c r="A52" s="73">
        <v>2</v>
      </c>
      <c r="B52" s="39" t="s">
        <v>445</v>
      </c>
      <c r="C52" s="39">
        <v>19</v>
      </c>
      <c r="D52" s="39" t="s">
        <v>74</v>
      </c>
      <c r="E52" s="44">
        <v>44427</v>
      </c>
      <c r="F52" s="43">
        <v>0.54583333333333328</v>
      </c>
      <c r="G52" s="39" t="s">
        <v>75</v>
      </c>
      <c r="H52" s="39" t="s">
        <v>34</v>
      </c>
      <c r="I52" s="39">
        <v>20.399999999999999</v>
      </c>
      <c r="J52" s="39">
        <v>7.8940000000000001</v>
      </c>
      <c r="K52" s="39">
        <v>64.400000000000006</v>
      </c>
      <c r="L52" s="39">
        <v>5.6</v>
      </c>
      <c r="M52" s="39">
        <v>11.6</v>
      </c>
      <c r="N52" s="39">
        <v>6.6</v>
      </c>
      <c r="O52" s="39" t="s">
        <v>342</v>
      </c>
      <c r="P52" s="39" t="s">
        <v>344</v>
      </c>
      <c r="Q52" s="39" t="s">
        <v>344</v>
      </c>
      <c r="R52" s="39">
        <v>64.5</v>
      </c>
      <c r="S52" s="46" t="s">
        <v>109</v>
      </c>
      <c r="T52" s="46">
        <f>(0.38+0.39+0.4)/3</f>
        <v>0.38999999999999996</v>
      </c>
      <c r="U52" s="47">
        <v>51.268097715301998</v>
      </c>
      <c r="V52" s="39">
        <v>4.2988790267486303</v>
      </c>
      <c r="W52" s="39">
        <v>1</v>
      </c>
      <c r="X52" s="39" t="s">
        <v>143</v>
      </c>
      <c r="Y52" s="39">
        <v>2</v>
      </c>
      <c r="Z52" s="40">
        <v>858.39</v>
      </c>
      <c r="AA52" s="48">
        <v>9.83</v>
      </c>
      <c r="AB52" s="39">
        <v>2.8</v>
      </c>
      <c r="AC52" s="39">
        <v>32.6</v>
      </c>
      <c r="AD52" s="39">
        <v>35.4</v>
      </c>
      <c r="AE52" s="39">
        <v>2.3561999999999999</v>
      </c>
      <c r="AF52" s="39">
        <v>3.9800000000000002E-2</v>
      </c>
      <c r="AG52" s="39">
        <v>1.34E-2</v>
      </c>
      <c r="AH52" s="39">
        <v>1.5562</v>
      </c>
      <c r="AI52" s="39">
        <v>0.33260000000000001</v>
      </c>
      <c r="AJ52" s="39">
        <v>0.14030000000000001</v>
      </c>
      <c r="AK52" s="39">
        <v>7.0841852074564038</v>
      </c>
      <c r="AL52" s="40" t="s">
        <v>373</v>
      </c>
      <c r="AM52" s="39" t="s">
        <v>447</v>
      </c>
      <c r="AN52" s="39">
        <v>17.809999999999999</v>
      </c>
      <c r="AO52" s="39">
        <v>2.88</v>
      </c>
      <c r="AP52" s="39">
        <v>0</v>
      </c>
      <c r="AQ52" s="39">
        <v>0</v>
      </c>
      <c r="AR52" s="20">
        <v>176.7</v>
      </c>
      <c r="AS52" s="39">
        <v>2.3382605818072313</v>
      </c>
      <c r="AT52" s="39">
        <v>22.992570262830391</v>
      </c>
      <c r="AU52" s="39" t="s">
        <v>357</v>
      </c>
      <c r="AV52" s="39" t="s">
        <v>356</v>
      </c>
      <c r="AW52" s="48">
        <v>1200.134856439593</v>
      </c>
      <c r="AX52" s="48">
        <v>1210.8179375441391</v>
      </c>
      <c r="AY52" s="48">
        <v>0.51393190605544747</v>
      </c>
      <c r="AZ52" s="48">
        <v>0.51850670546665001</v>
      </c>
      <c r="BA52" s="48">
        <v>151.52765113271326</v>
      </c>
      <c r="BB52" s="48">
        <v>152.87648470582897</v>
      </c>
      <c r="BC52" s="50">
        <v>100.92801032022614</v>
      </c>
      <c r="BD52" s="57">
        <v>0.12632020255471896</v>
      </c>
      <c r="BE52" s="57">
        <v>3.0412086810727032E-2</v>
      </c>
      <c r="BF52" s="48">
        <v>0.51393200000000006</v>
      </c>
      <c r="BG52" s="50">
        <v>100.92801032022614</v>
      </c>
      <c r="BH52" s="57">
        <v>0.12632020255471896</v>
      </c>
      <c r="BI52" s="57">
        <v>3.0412086810727032E-2</v>
      </c>
      <c r="BJ52" s="39" t="s">
        <v>116</v>
      </c>
      <c r="BK52" s="39" t="s">
        <v>319</v>
      </c>
      <c r="BL52" s="39" t="s">
        <v>366</v>
      </c>
      <c r="BM52" s="39"/>
      <c r="BN52" s="93">
        <v>11.305446994173655</v>
      </c>
      <c r="BO52" s="93">
        <v>2.8410270199972865</v>
      </c>
      <c r="BP52" s="39">
        <v>-2.261348028021275</v>
      </c>
      <c r="BQ52" s="39">
        <v>22.050839309091707</v>
      </c>
      <c r="BR52" s="39">
        <v>38.07081264690364</v>
      </c>
      <c r="BS52" s="39">
        <v>5.8189720969815575</v>
      </c>
      <c r="BT52" s="39">
        <v>19.533739577972092</v>
      </c>
      <c r="BU52" s="39">
        <v>57.032865679966378</v>
      </c>
      <c r="BV52" s="52"/>
      <c r="BW52" s="52"/>
      <c r="BX52" s="52"/>
      <c r="BY52" s="52"/>
      <c r="BZ52" s="52"/>
      <c r="CA52" s="52"/>
      <c r="CB52" s="52">
        <v>-2.261348028</v>
      </c>
      <c r="CC52" s="52">
        <v>22.050839310000001</v>
      </c>
      <c r="CD52" s="52">
        <v>38.070812650000001</v>
      </c>
      <c r="CE52" s="52">
        <v>5.8189720969999996</v>
      </c>
      <c r="CF52" s="52">
        <v>19.533739579999999</v>
      </c>
      <c r="CG52" s="52">
        <v>57.03286568</v>
      </c>
      <c r="CH52" s="39" t="s">
        <v>116</v>
      </c>
      <c r="CI52" s="39" t="s">
        <v>116</v>
      </c>
      <c r="CJ52" s="39" t="s">
        <v>116</v>
      </c>
      <c r="CK52" s="48">
        <v>0.65057084990155978</v>
      </c>
      <c r="CL52" s="48">
        <v>1.3822397585741919E-2</v>
      </c>
      <c r="CM52" s="48">
        <v>0.16525055897570687</v>
      </c>
      <c r="CN52" s="48">
        <v>1.3293713192688296E-2</v>
      </c>
      <c r="CO52" s="48">
        <v>3.1371569138509692E-2</v>
      </c>
      <c r="CP52" s="48">
        <v>0</v>
      </c>
      <c r="CQ52" s="48">
        <v>0.12569091120579357</v>
      </c>
      <c r="CR52" s="39" t="s">
        <v>420</v>
      </c>
      <c r="CS52" s="48">
        <v>0.17907295656144878</v>
      </c>
      <c r="CT52" s="48">
        <v>0.17035619353699155</v>
      </c>
      <c r="CU52" s="39" t="s">
        <v>420</v>
      </c>
      <c r="CV52" s="40" t="s">
        <v>0</v>
      </c>
      <c r="CW52" s="40" t="s">
        <v>0</v>
      </c>
      <c r="CX52" s="40" t="s">
        <v>0</v>
      </c>
      <c r="CY52" s="40" t="s">
        <v>0</v>
      </c>
      <c r="CZ52" s="40" t="s">
        <v>0</v>
      </c>
      <c r="DA52" s="40" t="s">
        <v>0</v>
      </c>
      <c r="DB52" s="40" t="s">
        <v>0</v>
      </c>
      <c r="DC52" s="40" t="s">
        <v>449</v>
      </c>
      <c r="DD52" s="40" t="s">
        <v>0</v>
      </c>
      <c r="DE52" s="40" t="s">
        <v>0</v>
      </c>
      <c r="DF52" s="40" t="s">
        <v>0</v>
      </c>
      <c r="DG52" s="40" t="s">
        <v>449</v>
      </c>
      <c r="DH52" s="74">
        <v>2183</v>
      </c>
    </row>
    <row r="53" spans="1:112" x14ac:dyDescent="0.3">
      <c r="A53" s="73">
        <v>2</v>
      </c>
      <c r="B53" s="39" t="s">
        <v>445</v>
      </c>
      <c r="C53" s="39">
        <v>20</v>
      </c>
      <c r="D53" s="39" t="s">
        <v>80</v>
      </c>
      <c r="E53" s="44">
        <v>44454</v>
      </c>
      <c r="F53" s="43">
        <v>0.45833333333333331</v>
      </c>
      <c r="G53" s="39" t="s">
        <v>77</v>
      </c>
      <c r="H53" s="39" t="s">
        <v>34</v>
      </c>
      <c r="I53" s="39">
        <v>20.3</v>
      </c>
      <c r="J53" s="39">
        <v>8.1709999999999994</v>
      </c>
      <c r="K53" s="39">
        <v>78.7</v>
      </c>
      <c r="L53" s="39">
        <v>6.69</v>
      </c>
      <c r="M53" s="39">
        <v>17.28</v>
      </c>
      <c r="N53" s="39">
        <v>10.1</v>
      </c>
      <c r="O53" s="39" t="s">
        <v>342</v>
      </c>
      <c r="P53" s="39" t="s">
        <v>344</v>
      </c>
      <c r="Q53" s="39" t="s">
        <v>344</v>
      </c>
      <c r="R53" s="39">
        <v>23.5</v>
      </c>
      <c r="S53" s="46" t="s">
        <v>109</v>
      </c>
      <c r="T53" s="46">
        <f>(0.42+0.46+0.47)/3</f>
        <v>0.45</v>
      </c>
      <c r="U53" s="47">
        <v>51.285333000000001</v>
      </c>
      <c r="V53" s="39">
        <v>4.3163830000000001</v>
      </c>
      <c r="W53" s="39">
        <v>1</v>
      </c>
      <c r="X53" s="39" t="s">
        <v>143</v>
      </c>
      <c r="Y53" s="39">
        <v>2</v>
      </c>
      <c r="Z53" s="39">
        <v>890.69</v>
      </c>
      <c r="AA53" s="48">
        <v>6</v>
      </c>
      <c r="AB53" s="39">
        <v>3.9</v>
      </c>
      <c r="AC53" s="39">
        <v>34.200000000000003</v>
      </c>
      <c r="AD53" s="39">
        <v>38.1</v>
      </c>
      <c r="AE53" s="40">
        <v>2.0545</v>
      </c>
      <c r="AF53" s="40">
        <v>4.2999999999999997E-2</v>
      </c>
      <c r="AG53" s="40">
        <v>1.7999999999999999E-2</v>
      </c>
      <c r="AH53" s="40">
        <v>1.8374999999999999</v>
      </c>
      <c r="AI53" s="40">
        <v>0.2351</v>
      </c>
      <c r="AJ53" s="40">
        <v>0.16500000000000001</v>
      </c>
      <c r="AK53" s="39">
        <v>8.7388345384942578</v>
      </c>
      <c r="AL53" s="40" t="s">
        <v>373</v>
      </c>
      <c r="AM53" s="40" t="s">
        <v>433</v>
      </c>
      <c r="AN53" s="39">
        <v>18.13</v>
      </c>
      <c r="AO53" s="39">
        <v>1.56</v>
      </c>
      <c r="AP53" s="39">
        <v>0</v>
      </c>
      <c r="AQ53" s="39">
        <v>0.04</v>
      </c>
      <c r="AR53" s="20">
        <v>121.7</v>
      </c>
      <c r="AS53" s="39">
        <v>2.0573948966524642</v>
      </c>
      <c r="AT53" s="39">
        <v>47.393948212273614</v>
      </c>
      <c r="AU53" s="39" t="s">
        <v>357</v>
      </c>
      <c r="AV53" s="39" t="s">
        <v>356</v>
      </c>
      <c r="AW53" s="48">
        <v>3338.6650824808621</v>
      </c>
      <c r="AX53" s="48">
        <v>3363.5377247116494</v>
      </c>
      <c r="AY53" s="48">
        <v>3.3019158682191949</v>
      </c>
      <c r="AZ53" s="48">
        <v>3.3265147333456562</v>
      </c>
      <c r="BA53" s="48">
        <v>607.99786382014781</v>
      </c>
      <c r="BB53" s="48">
        <v>612.52737276168068</v>
      </c>
      <c r="BC53" s="50">
        <v>14.994252453998696</v>
      </c>
      <c r="BD53" s="57">
        <v>0.17612237200687741</v>
      </c>
      <c r="BE53" s="57">
        <v>4.716452155494498E-2</v>
      </c>
      <c r="BF53" s="48">
        <v>3.3019159999999999</v>
      </c>
      <c r="BG53" s="50"/>
      <c r="BH53" s="57">
        <v>0.17612237200687741</v>
      </c>
      <c r="BI53" s="57">
        <v>4.716452155494498E-2</v>
      </c>
      <c r="BJ53" s="39" t="s">
        <v>116</v>
      </c>
      <c r="BK53" s="39" t="s">
        <v>318</v>
      </c>
      <c r="BL53" s="39" t="s">
        <v>366</v>
      </c>
      <c r="BM53" s="39"/>
      <c r="BN53" s="93">
        <v>10.254798107640218</v>
      </c>
      <c r="BO53" s="93">
        <v>1.9207687336879724</v>
      </c>
      <c r="BP53" s="39">
        <v>7.1470975390538118</v>
      </c>
      <c r="BQ53" s="39">
        <v>17.383953382093573</v>
      </c>
      <c r="BR53" s="39">
        <v>43.986088620884033</v>
      </c>
      <c r="BS53" s="39">
        <v>5.5517492995730606</v>
      </c>
      <c r="BT53" s="39">
        <v>19.569665582415894</v>
      </c>
      <c r="BU53" s="39">
        <v>60.11360084885964</v>
      </c>
      <c r="BV53" s="52"/>
      <c r="BW53" s="52"/>
      <c r="BX53" s="52"/>
      <c r="BY53" s="52"/>
      <c r="BZ53" s="52"/>
      <c r="CA53" s="52"/>
      <c r="CB53" s="52">
        <v>7.1470975389999998</v>
      </c>
      <c r="CC53" s="52">
        <v>17.383953380000001</v>
      </c>
      <c r="CD53" s="52">
        <v>43.986088619999997</v>
      </c>
      <c r="CE53" s="52">
        <v>5.5517493</v>
      </c>
      <c r="CF53" s="52">
        <v>19.569665579999999</v>
      </c>
      <c r="CG53" s="52">
        <v>60.113600849999997</v>
      </c>
      <c r="CH53" s="39" t="s">
        <v>116</v>
      </c>
      <c r="CI53" s="39" t="s">
        <v>116</v>
      </c>
      <c r="CJ53" s="39" t="s">
        <v>116</v>
      </c>
      <c r="CK53" s="48">
        <v>0.29777316558938688</v>
      </c>
      <c r="CL53" s="48">
        <v>1.9450103920674686E-2</v>
      </c>
      <c r="CM53" s="48">
        <v>0.33569387998829808</v>
      </c>
      <c r="CN53" s="48">
        <v>8.3522967819572441E-2</v>
      </c>
      <c r="CO53" s="48">
        <v>0.11773625072689155</v>
      </c>
      <c r="CP53" s="48">
        <v>0</v>
      </c>
      <c r="CQ53" s="48">
        <v>0.14582363195517623</v>
      </c>
      <c r="CR53" s="39" t="s">
        <v>415</v>
      </c>
      <c r="CS53" s="48">
        <v>0.35514398390897278</v>
      </c>
      <c r="CT53" s="48">
        <v>0.34708285050164023</v>
      </c>
      <c r="CU53" s="39" t="s">
        <v>418</v>
      </c>
      <c r="CV53" s="40" t="s">
        <v>0</v>
      </c>
      <c r="CW53" s="40" t="s">
        <v>0</v>
      </c>
      <c r="CX53" s="40" t="s">
        <v>0</v>
      </c>
      <c r="CY53" s="40" t="s">
        <v>0</v>
      </c>
      <c r="CZ53" s="40" t="s">
        <v>0</v>
      </c>
      <c r="DA53" s="40" t="s">
        <v>0</v>
      </c>
      <c r="DB53" s="40" t="s">
        <v>0</v>
      </c>
      <c r="DC53" s="40" t="s">
        <v>0</v>
      </c>
      <c r="DD53" s="40" t="s">
        <v>0</v>
      </c>
      <c r="DE53" s="40" t="s">
        <v>0</v>
      </c>
      <c r="DF53" s="40" t="s">
        <v>0</v>
      </c>
      <c r="DG53" s="40" t="s">
        <v>0</v>
      </c>
      <c r="DH53" s="74">
        <v>4383</v>
      </c>
    </row>
    <row r="54" spans="1:112" x14ac:dyDescent="0.3">
      <c r="A54" s="73">
        <v>2</v>
      </c>
      <c r="B54" s="39" t="s">
        <v>445</v>
      </c>
      <c r="C54" s="39">
        <v>21</v>
      </c>
      <c r="D54" s="39" t="s">
        <v>78</v>
      </c>
      <c r="E54" s="44">
        <v>44454</v>
      </c>
      <c r="F54" s="43">
        <v>0.41666666666666669</v>
      </c>
      <c r="G54" s="39" t="s">
        <v>79</v>
      </c>
      <c r="H54" s="39" t="s">
        <v>34</v>
      </c>
      <c r="I54" s="39">
        <v>20.3</v>
      </c>
      <c r="J54" s="39">
        <v>8.16</v>
      </c>
      <c r="K54" s="39">
        <v>80.5</v>
      </c>
      <c r="L54" s="39">
        <v>6.84</v>
      </c>
      <c r="M54" s="39">
        <v>17.21</v>
      </c>
      <c r="N54" s="39">
        <v>10.1</v>
      </c>
      <c r="O54" s="39" t="s">
        <v>342</v>
      </c>
      <c r="P54" s="39" t="s">
        <v>344</v>
      </c>
      <c r="Q54" s="39" t="s">
        <v>344</v>
      </c>
      <c r="R54" s="39">
        <v>28</v>
      </c>
      <c r="S54" s="46" t="s">
        <v>109</v>
      </c>
      <c r="T54" s="46">
        <f>(0.42+0.42+0.42)/3</f>
        <v>0.42</v>
      </c>
      <c r="U54" s="47">
        <v>51.300167000000002</v>
      </c>
      <c r="V54" s="39">
        <v>4.2979000000000003</v>
      </c>
      <c r="W54" s="39">
        <v>1</v>
      </c>
      <c r="X54" s="39" t="s">
        <v>144</v>
      </c>
      <c r="Y54" s="39">
        <v>2</v>
      </c>
      <c r="Z54" s="40">
        <v>890.93</v>
      </c>
      <c r="AA54" s="48">
        <v>3.7</v>
      </c>
      <c r="AB54" s="39">
        <v>4.0999999999999996</v>
      </c>
      <c r="AC54" s="39">
        <v>33.299999999999997</v>
      </c>
      <c r="AD54" s="39">
        <v>37.4</v>
      </c>
      <c r="AE54" s="39">
        <v>2.2502</v>
      </c>
      <c r="AF54" s="39">
        <v>2.0400000000000001E-2</v>
      </c>
      <c r="AG54" s="39">
        <v>1.54E-2</v>
      </c>
      <c r="AH54" s="39">
        <v>1.7982</v>
      </c>
      <c r="AI54" s="39">
        <v>0.25629999999999997</v>
      </c>
      <c r="AJ54" s="39">
        <v>0.16520000000000001</v>
      </c>
      <c r="AK54" s="39">
        <v>8.7795552087397581</v>
      </c>
      <c r="AL54" s="40" t="s">
        <v>373</v>
      </c>
      <c r="AM54" s="40" t="s">
        <v>447</v>
      </c>
      <c r="AN54" s="39">
        <v>18.52</v>
      </c>
      <c r="AO54" s="39">
        <v>0.96</v>
      </c>
      <c r="AP54" s="39">
        <v>0</v>
      </c>
      <c r="AQ54" s="39">
        <v>0.04</v>
      </c>
      <c r="AR54" s="20">
        <v>107.5</v>
      </c>
      <c r="AS54" s="39">
        <v>1.903599609095755</v>
      </c>
      <c r="AT54" s="39">
        <v>22.817635759938863</v>
      </c>
      <c r="AU54" s="39" t="s">
        <v>358</v>
      </c>
      <c r="AV54" s="39" t="s">
        <v>356</v>
      </c>
      <c r="AW54" s="48">
        <v>1894.3105882160955</v>
      </c>
      <c r="AX54" s="48">
        <v>1905.8711629993261</v>
      </c>
      <c r="AY54" s="48">
        <v>1.5426028118753008</v>
      </c>
      <c r="AZ54" s="48">
        <v>1.5520169888737518</v>
      </c>
      <c r="BA54" s="48">
        <v>344.96630697743018</v>
      </c>
      <c r="BB54" s="48">
        <v>347.07156300794344</v>
      </c>
      <c r="BC54" s="50">
        <v>148.84765785040315</v>
      </c>
      <c r="BD54" s="57">
        <v>0.18760334184968033</v>
      </c>
      <c r="BE54" s="57">
        <v>1.7274252180407994E-2</v>
      </c>
      <c r="BF54" s="48">
        <v>1.5426029999999999</v>
      </c>
      <c r="BG54" s="50">
        <v>148.84765785040315</v>
      </c>
      <c r="BH54" s="57">
        <v>0.18760334184968033</v>
      </c>
      <c r="BI54" s="57">
        <v>1.7274252180407994E-2</v>
      </c>
      <c r="BJ54" s="39" t="s">
        <v>116</v>
      </c>
      <c r="BK54" s="39" t="s">
        <v>314</v>
      </c>
      <c r="BL54" s="39" t="s">
        <v>368</v>
      </c>
      <c r="BM54" s="39" t="s">
        <v>370</v>
      </c>
      <c r="BN54" s="93">
        <v>11.790114429594555</v>
      </c>
      <c r="BO54" s="93">
        <v>2.3943591756084599</v>
      </c>
      <c r="BP54" s="39">
        <v>6.2223414937491581</v>
      </c>
      <c r="BQ54" s="39">
        <v>17.876810022318963</v>
      </c>
      <c r="BR54" s="39">
        <v>43.30441210769942</v>
      </c>
      <c r="BS54" s="39">
        <v>5.5736502339995404</v>
      </c>
      <c r="BT54" s="39">
        <v>19.38838398116858</v>
      </c>
      <c r="BU54" s="39">
        <v>54.9418015097487</v>
      </c>
      <c r="BV54" s="52"/>
      <c r="BW54" s="52"/>
      <c r="BX54" s="52"/>
      <c r="BY54" s="52"/>
      <c r="BZ54" s="52"/>
      <c r="CA54" s="52"/>
      <c r="CB54" s="52">
        <v>6.2223414940000001</v>
      </c>
      <c r="CC54" s="52">
        <v>17.876810020000001</v>
      </c>
      <c r="CD54" s="52">
        <v>43.304412110000001</v>
      </c>
      <c r="CE54" s="52">
        <v>5.5736502339999996</v>
      </c>
      <c r="CF54" s="52">
        <v>19.38838398</v>
      </c>
      <c r="CG54" s="52">
        <v>54.941801509999998</v>
      </c>
      <c r="CH54" s="39" t="s">
        <v>116</v>
      </c>
      <c r="CI54" s="39" t="s">
        <v>116</v>
      </c>
      <c r="CJ54" s="39" t="s">
        <v>116</v>
      </c>
      <c r="CK54" s="48">
        <v>0.41917009337768418</v>
      </c>
      <c r="CL54" s="48">
        <v>5.2922181248456022E-3</v>
      </c>
      <c r="CM54" s="48">
        <v>0.30648142899576841</v>
      </c>
      <c r="CN54" s="48">
        <v>4.7581002316736315E-2</v>
      </c>
      <c r="CO54" s="48">
        <v>0.13115330322461891</v>
      </c>
      <c r="CP54" s="48">
        <v>0</v>
      </c>
      <c r="CQ54" s="48">
        <v>9.0321953960346549E-2</v>
      </c>
      <c r="CR54" s="39" t="s">
        <v>420</v>
      </c>
      <c r="CS54" s="48">
        <v>0.31177364712061401</v>
      </c>
      <c r="CT54" s="48">
        <v>0.26905625950170176</v>
      </c>
      <c r="CU54" s="39" t="s">
        <v>420</v>
      </c>
      <c r="CV54" s="40" t="s">
        <v>0</v>
      </c>
      <c r="CW54" s="40" t="s">
        <v>0</v>
      </c>
      <c r="CX54" s="40" t="s">
        <v>0</v>
      </c>
      <c r="CY54" s="40" t="s">
        <v>0</v>
      </c>
      <c r="CZ54" s="40" t="s">
        <v>0</v>
      </c>
      <c r="DA54" s="40" t="s">
        <v>0</v>
      </c>
      <c r="DB54" s="40" t="s">
        <v>0</v>
      </c>
      <c r="DC54" s="40" t="s">
        <v>449</v>
      </c>
      <c r="DD54" s="40" t="s">
        <v>0</v>
      </c>
      <c r="DE54" s="40" t="s">
        <v>0</v>
      </c>
      <c r="DF54" s="40" t="s">
        <v>0</v>
      </c>
      <c r="DG54" s="40" t="s">
        <v>449</v>
      </c>
      <c r="DH54" s="74">
        <v>2750</v>
      </c>
    </row>
    <row r="55" spans="1:112" x14ac:dyDescent="0.3">
      <c r="A55" s="73">
        <v>2</v>
      </c>
      <c r="B55" s="39" t="s">
        <v>445</v>
      </c>
      <c r="C55" s="39">
        <v>22</v>
      </c>
      <c r="D55" s="39" t="s">
        <v>76</v>
      </c>
      <c r="E55" s="44">
        <v>44427</v>
      </c>
      <c r="F55" s="43">
        <v>0.41319444444444442</v>
      </c>
      <c r="G55" s="39" t="s">
        <v>81</v>
      </c>
      <c r="H55" s="39" t="s">
        <v>34</v>
      </c>
      <c r="I55" s="39">
        <v>20.399999999999999</v>
      </c>
      <c r="J55" s="39">
        <v>7.9279999999999999</v>
      </c>
      <c r="K55" s="39">
        <v>68.3</v>
      </c>
      <c r="L55" s="39">
        <v>5.9</v>
      </c>
      <c r="M55" s="39">
        <v>12.48</v>
      </c>
      <c r="N55" s="39">
        <v>7.1</v>
      </c>
      <c r="O55" s="39" t="s">
        <v>342</v>
      </c>
      <c r="P55" s="39" t="s">
        <v>344</v>
      </c>
      <c r="Q55" s="39" t="s">
        <v>344</v>
      </c>
      <c r="R55" s="39">
        <v>48.4</v>
      </c>
      <c r="S55" s="46" t="s">
        <v>109</v>
      </c>
      <c r="T55" s="46">
        <f>(0.43+0.45+0.45)/3</f>
        <v>0.44333333333333336</v>
      </c>
      <c r="U55" s="47">
        <v>51.302831880575503</v>
      </c>
      <c r="V55" s="39">
        <v>4.2856914617172501</v>
      </c>
      <c r="W55" s="39">
        <v>1</v>
      </c>
      <c r="X55" s="39" t="s">
        <v>143</v>
      </c>
      <c r="Y55" s="39">
        <v>2</v>
      </c>
      <c r="Z55" s="40">
        <v>877.01</v>
      </c>
      <c r="AA55" s="48">
        <v>6.04</v>
      </c>
      <c r="AB55" s="39">
        <v>10.7</v>
      </c>
      <c r="AC55" s="39">
        <v>26.4</v>
      </c>
      <c r="AD55" s="39">
        <v>37.1</v>
      </c>
      <c r="AE55" s="40">
        <v>1.4643999999999999</v>
      </c>
      <c r="AF55" s="40">
        <v>3.8800000000000001E-2</v>
      </c>
      <c r="AG55" s="40">
        <v>1.26E-2</v>
      </c>
      <c r="AH55" s="40">
        <v>1.3110999999999999</v>
      </c>
      <c r="AI55" s="40">
        <v>0.2417</v>
      </c>
      <c r="AJ55" s="40">
        <v>0.1419</v>
      </c>
      <c r="AK55" s="39">
        <v>6.0587505171700453</v>
      </c>
      <c r="AL55" s="40" t="s">
        <v>373</v>
      </c>
      <c r="AM55" s="40" t="s">
        <v>432</v>
      </c>
      <c r="AN55" s="39">
        <v>17.45</v>
      </c>
      <c r="AO55" s="39">
        <v>2.83</v>
      </c>
      <c r="AP55" s="39">
        <v>0</v>
      </c>
      <c r="AQ55" s="39">
        <v>0</v>
      </c>
      <c r="AR55" s="20">
        <v>92.3</v>
      </c>
      <c r="AS55" s="39">
        <v>2.2875932408232402</v>
      </c>
      <c r="AT55" s="39">
        <v>22.161824095162881</v>
      </c>
      <c r="AU55" s="39" t="s">
        <v>357</v>
      </c>
      <c r="AV55" s="39" t="s">
        <v>356</v>
      </c>
      <c r="AW55" s="48">
        <v>2686.9406566771904</v>
      </c>
      <c r="AX55" s="48">
        <v>2714.21689527732</v>
      </c>
      <c r="AY55" s="48">
        <v>1.6239475076635832</v>
      </c>
      <c r="AZ55" s="48">
        <v>1.6404328660517715</v>
      </c>
      <c r="BA55" s="48">
        <v>339.0733094300287</v>
      </c>
      <c r="BB55" s="48">
        <v>342.51538191047814</v>
      </c>
      <c r="BC55" s="50">
        <v>92.743827725142054</v>
      </c>
      <c r="BD55" s="57">
        <v>0.19460273204338915</v>
      </c>
      <c r="BE55" s="57">
        <v>2.7192459556956167E-2</v>
      </c>
      <c r="BF55" s="48">
        <v>1.6239479999999999</v>
      </c>
      <c r="BG55" s="50">
        <v>92.743827725142054</v>
      </c>
      <c r="BH55" s="57">
        <v>0.19460273204338915</v>
      </c>
      <c r="BI55" s="57">
        <v>2.7192459556956167E-2</v>
      </c>
      <c r="BJ55" s="39" t="s">
        <v>39</v>
      </c>
      <c r="BK55" s="39" t="s">
        <v>319</v>
      </c>
      <c r="BL55" s="39" t="s">
        <v>366</v>
      </c>
      <c r="BM55" s="39"/>
      <c r="BN55" s="93">
        <v>11.357610514366147</v>
      </c>
      <c r="BO55" s="93">
        <v>1.779917915170981</v>
      </c>
      <c r="BP55" s="39">
        <v>5.5281800864566746</v>
      </c>
      <c r="BQ55" s="39">
        <v>19.713494617596346</v>
      </c>
      <c r="BR55" s="39">
        <v>44.164219061697182</v>
      </c>
      <c r="BS55" s="39">
        <v>3.9023521882000534</v>
      </c>
      <c r="BT55" s="39">
        <v>25.110844231237401</v>
      </c>
      <c r="BU55" s="39">
        <v>65.010908275980796</v>
      </c>
      <c r="BV55" s="52"/>
      <c r="BW55" s="52"/>
      <c r="BX55" s="52"/>
      <c r="BY55" s="52"/>
      <c r="BZ55" s="52"/>
      <c r="CA55" s="52"/>
      <c r="CB55" s="52">
        <v>5.5281800859999999</v>
      </c>
      <c r="CC55" s="52">
        <v>19.713494619999999</v>
      </c>
      <c r="CD55" s="52">
        <v>44.164219060000001</v>
      </c>
      <c r="CE55" s="52">
        <v>3.9023521880000001</v>
      </c>
      <c r="CF55" s="52">
        <v>25.110844230000001</v>
      </c>
      <c r="CG55" s="52">
        <v>65.010908279999995</v>
      </c>
      <c r="CH55" s="39" t="s">
        <v>116</v>
      </c>
      <c r="CI55" s="39" t="s">
        <v>36</v>
      </c>
      <c r="CJ55" s="39" t="s">
        <v>36</v>
      </c>
      <c r="CK55" s="48">
        <v>0.34014985250695512</v>
      </c>
      <c r="CL55" s="48">
        <v>4.5290631940705321E-3</v>
      </c>
      <c r="CM55" s="48">
        <v>0.24990649343069651</v>
      </c>
      <c r="CN55" s="48">
        <v>0.17717973510683227</v>
      </c>
      <c r="CO55" s="48">
        <v>0.1472012264930177</v>
      </c>
      <c r="CP55" s="48">
        <v>4.5374262935134789E-5</v>
      </c>
      <c r="CQ55" s="48">
        <v>8.0988255005492657E-2</v>
      </c>
      <c r="CR55" s="39" t="s">
        <v>420</v>
      </c>
      <c r="CS55" s="48">
        <v>0.25443555662476702</v>
      </c>
      <c r="CT55" s="48">
        <v>0.4054145908682778</v>
      </c>
      <c r="CU55" s="39" t="s">
        <v>42</v>
      </c>
      <c r="CV55" s="40" t="s">
        <v>0</v>
      </c>
      <c r="CW55" s="40" t="s">
        <v>0</v>
      </c>
      <c r="CX55" s="40" t="s">
        <v>0</v>
      </c>
      <c r="CY55" s="40" t="s">
        <v>449</v>
      </c>
      <c r="CZ55" s="40" t="s">
        <v>0</v>
      </c>
      <c r="DA55" s="40" t="s">
        <v>0</v>
      </c>
      <c r="DB55" s="40" t="s">
        <v>0</v>
      </c>
      <c r="DC55" s="40" t="s">
        <v>449</v>
      </c>
      <c r="DD55" s="40" t="s">
        <v>0</v>
      </c>
      <c r="DE55" s="40" t="s">
        <v>0</v>
      </c>
      <c r="DF55" s="40" t="s">
        <v>0</v>
      </c>
      <c r="DG55" s="40" t="s">
        <v>449</v>
      </c>
      <c r="DH55" s="74">
        <v>1750</v>
      </c>
    </row>
    <row r="56" spans="1:112" x14ac:dyDescent="0.3">
      <c r="A56" s="73">
        <v>2</v>
      </c>
      <c r="B56" s="39" t="s">
        <v>445</v>
      </c>
      <c r="C56" s="39">
        <v>23</v>
      </c>
      <c r="D56" s="39" t="s">
        <v>82</v>
      </c>
      <c r="E56" s="44">
        <v>44434</v>
      </c>
      <c r="F56" s="43">
        <v>0.48541666666666666</v>
      </c>
      <c r="G56" s="39" t="s">
        <v>83</v>
      </c>
      <c r="H56" s="39" t="s">
        <v>34</v>
      </c>
      <c r="I56" s="39">
        <v>20.2</v>
      </c>
      <c r="J56" s="39">
        <v>8.0250000000000004</v>
      </c>
      <c r="K56" s="39">
        <v>80.2</v>
      </c>
      <c r="L56" s="39">
        <v>6.89</v>
      </c>
      <c r="M56" s="39">
        <v>16.27</v>
      </c>
      <c r="N56" s="39">
        <v>9.5</v>
      </c>
      <c r="O56" s="39" t="s">
        <v>342</v>
      </c>
      <c r="P56" s="39" t="s">
        <v>344</v>
      </c>
      <c r="Q56" s="39" t="s">
        <v>344</v>
      </c>
      <c r="R56" s="39">
        <v>44.6</v>
      </c>
      <c r="S56" s="46" t="s">
        <v>109</v>
      </c>
      <c r="T56" s="46">
        <f>(0.8+0.83+0.87)/3</f>
        <v>0.83333333333333337</v>
      </c>
      <c r="U56" s="47">
        <v>51.358066999999998</v>
      </c>
      <c r="V56" s="39">
        <v>4.2415669999999999</v>
      </c>
      <c r="W56" s="39">
        <v>1</v>
      </c>
      <c r="X56" s="39" t="s">
        <v>143</v>
      </c>
      <c r="Y56" s="39">
        <v>2</v>
      </c>
      <c r="Z56" s="40">
        <v>1594.58</v>
      </c>
      <c r="AA56" s="48">
        <v>4.5</v>
      </c>
      <c r="AB56" s="39">
        <v>2.8</v>
      </c>
      <c r="AC56" s="39">
        <v>35</v>
      </c>
      <c r="AD56" s="39">
        <v>37.799999999999997</v>
      </c>
      <c r="AE56" s="39">
        <v>2.4779</v>
      </c>
      <c r="AF56" s="39">
        <v>2.6200000000000001E-2</v>
      </c>
      <c r="AG56" s="39">
        <v>2.9100000000000001E-2</v>
      </c>
      <c r="AH56" s="39">
        <v>1.6777</v>
      </c>
      <c r="AI56" s="39">
        <v>0.34939999999999999</v>
      </c>
      <c r="AJ56" s="39">
        <v>0.159</v>
      </c>
      <c r="AK56" s="39">
        <v>7.0918717801946194</v>
      </c>
      <c r="AL56" s="40" t="s">
        <v>372</v>
      </c>
      <c r="AM56" s="40" t="s">
        <v>433</v>
      </c>
      <c r="AN56" s="49">
        <v>17</v>
      </c>
      <c r="AO56" s="49">
        <v>4.3</v>
      </c>
      <c r="AP56" s="49">
        <v>0</v>
      </c>
      <c r="AQ56" s="49">
        <v>0.2</v>
      </c>
      <c r="AR56" s="20">
        <v>216.6</v>
      </c>
      <c r="AS56" s="39">
        <v>1.9484005315390729</v>
      </c>
      <c r="AT56" s="39">
        <v>23.101702778878636</v>
      </c>
      <c r="AU56" s="39" t="s">
        <v>358</v>
      </c>
      <c r="AV56" s="39" t="s">
        <v>356</v>
      </c>
      <c r="AW56" s="48">
        <v>6826.7699464497009</v>
      </c>
      <c r="AX56" s="48">
        <v>6902.0608781355177</v>
      </c>
      <c r="AY56" s="48">
        <v>13.491280178280336</v>
      </c>
      <c r="AZ56" s="48">
        <v>13.640072515245693</v>
      </c>
      <c r="BA56" s="48">
        <v>1029.9017076137141</v>
      </c>
      <c r="BB56" s="48">
        <v>1041.260265133493</v>
      </c>
      <c r="BC56" s="50">
        <v>98.690467011956983</v>
      </c>
      <c r="BD56" s="57">
        <v>0.17165310438978634</v>
      </c>
      <c r="BE56" s="57">
        <v>4.8313533511681057E-2</v>
      </c>
      <c r="BF56" s="48">
        <v>13.49128</v>
      </c>
      <c r="BG56" s="50">
        <v>98.690467011956983</v>
      </c>
      <c r="BH56" s="57">
        <v>0.17165310438978634</v>
      </c>
      <c r="BI56" s="57">
        <v>4.8313533511681057E-2</v>
      </c>
      <c r="BJ56" s="39" t="s">
        <v>116</v>
      </c>
      <c r="BK56" s="39" t="s">
        <v>319</v>
      </c>
      <c r="BL56" s="39" t="s">
        <v>366</v>
      </c>
      <c r="BM56" s="39"/>
      <c r="BN56" s="93">
        <v>11.209516775587398</v>
      </c>
      <c r="BO56" s="93">
        <v>1.701292932359451</v>
      </c>
      <c r="BP56" s="39">
        <v>7.8522733802968361</v>
      </c>
      <c r="BQ56" s="39">
        <v>23.356675630247487</v>
      </c>
      <c r="BR56" s="39">
        <v>44.361740356561533</v>
      </c>
      <c r="BS56" s="39">
        <v>5.4457785411252866</v>
      </c>
      <c r="BT56" s="39">
        <v>18.192510279028493</v>
      </c>
      <c r="BU56" s="39">
        <v>58.180481764590411</v>
      </c>
      <c r="BV56" s="52"/>
      <c r="BW56" s="52"/>
      <c r="BX56" s="52"/>
      <c r="BY56" s="52"/>
      <c r="BZ56" s="52"/>
      <c r="CA56" s="52"/>
      <c r="CB56" s="52">
        <v>7.8522733799999997</v>
      </c>
      <c r="CC56" s="52">
        <v>23.356675630000002</v>
      </c>
      <c r="CD56" s="52">
        <v>44.361740359999999</v>
      </c>
      <c r="CE56" s="52">
        <v>5.4457785410000001</v>
      </c>
      <c r="CF56" s="52">
        <v>18.19251028</v>
      </c>
      <c r="CG56" s="52">
        <v>58.180481759999999</v>
      </c>
      <c r="CH56" s="39" t="s">
        <v>42</v>
      </c>
      <c r="CI56" s="39" t="s">
        <v>116</v>
      </c>
      <c r="CJ56" s="39" t="s">
        <v>116</v>
      </c>
      <c r="CK56" s="48">
        <v>0.14348228190242002</v>
      </c>
      <c r="CL56" s="48">
        <v>1.1867754196077508E-2</v>
      </c>
      <c r="CM56" s="48">
        <v>0.30677955651553068</v>
      </c>
      <c r="CN56" s="48">
        <v>0.47086801474171219</v>
      </c>
      <c r="CO56" s="48">
        <v>3.9762048246687033E-2</v>
      </c>
      <c r="CP56" s="48">
        <v>0</v>
      </c>
      <c r="CQ56" s="48">
        <v>2.7240344397572714E-2</v>
      </c>
      <c r="CR56" s="39" t="s">
        <v>421</v>
      </c>
      <c r="CS56" s="48">
        <v>0.31864731071160818</v>
      </c>
      <c r="CT56" s="48">
        <v>0.53787040738597192</v>
      </c>
      <c r="CU56" s="39" t="s">
        <v>42</v>
      </c>
      <c r="CV56" s="40" t="s">
        <v>0</v>
      </c>
      <c r="CW56" s="40" t="s">
        <v>0</v>
      </c>
      <c r="CX56" s="40" t="s">
        <v>0</v>
      </c>
      <c r="CY56" s="40" t="s">
        <v>0</v>
      </c>
      <c r="CZ56" s="40" t="s">
        <v>0</v>
      </c>
      <c r="DA56" s="40" t="s">
        <v>0</v>
      </c>
      <c r="DB56" s="40" t="s">
        <v>0</v>
      </c>
      <c r="DC56" s="40" t="s">
        <v>0</v>
      </c>
      <c r="DD56" s="40" t="s">
        <v>0</v>
      </c>
      <c r="DE56" s="40" t="s">
        <v>0</v>
      </c>
      <c r="DF56" s="40" t="s">
        <v>0</v>
      </c>
      <c r="DG56" s="40" t="s">
        <v>0</v>
      </c>
      <c r="DH56" s="74">
        <v>6345</v>
      </c>
    </row>
    <row r="57" spans="1:112" x14ac:dyDescent="0.3">
      <c r="A57" s="73">
        <v>2</v>
      </c>
      <c r="B57" s="39" t="s">
        <v>445</v>
      </c>
      <c r="C57" s="39">
        <v>24</v>
      </c>
      <c r="D57" s="39" t="s">
        <v>84</v>
      </c>
      <c r="E57" s="44">
        <v>44434</v>
      </c>
      <c r="F57" s="43">
        <v>0.43541666666666662</v>
      </c>
      <c r="G57" s="39" t="s">
        <v>85</v>
      </c>
      <c r="H57" s="39" t="s">
        <v>145</v>
      </c>
      <c r="I57" s="39">
        <v>19.7</v>
      </c>
      <c r="J57" s="39">
        <v>8.1969999999999992</v>
      </c>
      <c r="K57" s="39">
        <v>86.3</v>
      </c>
      <c r="L57" s="39">
        <v>7.42</v>
      </c>
      <c r="M57" s="39">
        <v>18.579999999999998</v>
      </c>
      <c r="N57" s="39">
        <v>10.9</v>
      </c>
      <c r="O57" s="39" t="s">
        <v>342</v>
      </c>
      <c r="P57" s="39" t="s">
        <v>344</v>
      </c>
      <c r="Q57" s="39" t="s">
        <v>344</v>
      </c>
      <c r="R57" s="39">
        <v>23.8</v>
      </c>
      <c r="S57" s="46" t="s">
        <v>109</v>
      </c>
      <c r="T57" s="46">
        <f>(0.82+0.89+0.85)/3</f>
        <v>0.85333333333333339</v>
      </c>
      <c r="U57" s="47">
        <v>51.375900000000001</v>
      </c>
      <c r="V57" s="39">
        <v>4.2118330000000004</v>
      </c>
      <c r="W57" s="39">
        <v>1</v>
      </c>
      <c r="X57" s="39" t="s">
        <v>143</v>
      </c>
      <c r="Y57" s="39">
        <v>2</v>
      </c>
      <c r="Z57" s="40">
        <v>2644.16</v>
      </c>
      <c r="AA57" s="48">
        <v>2.7</v>
      </c>
      <c r="AB57" s="39">
        <v>7.3</v>
      </c>
      <c r="AC57" s="39">
        <v>34.799999999999997</v>
      </c>
      <c r="AD57" s="39">
        <v>42.1</v>
      </c>
      <c r="AE57" s="39">
        <v>2.0512999999999999</v>
      </c>
      <c r="AF57" s="39">
        <v>2.5700000000000001E-2</v>
      </c>
      <c r="AG57" s="39">
        <v>3.56E-2</v>
      </c>
      <c r="AH57" s="39">
        <v>1.4804999999999999</v>
      </c>
      <c r="AI57" s="39">
        <v>0.22889999999999999</v>
      </c>
      <c r="AJ57" s="39">
        <v>0.15570000000000001</v>
      </c>
      <c r="AK57" s="39">
        <v>8.9615552643075578</v>
      </c>
      <c r="AL57" s="40" t="s">
        <v>372</v>
      </c>
      <c r="AM57" s="39"/>
      <c r="AN57" s="49">
        <v>16.5</v>
      </c>
      <c r="AO57" s="49">
        <v>4</v>
      </c>
      <c r="AP57" s="49">
        <v>0</v>
      </c>
      <c r="AQ57" s="49">
        <v>0.2</v>
      </c>
      <c r="AR57" s="20">
        <v>171.9</v>
      </c>
      <c r="AS57" s="39">
        <v>1.9271252456710066</v>
      </c>
      <c r="AT57" s="39">
        <v>40.345551352916004</v>
      </c>
      <c r="AU57" s="39" t="s">
        <v>358</v>
      </c>
      <c r="AV57" s="39" t="s">
        <v>356</v>
      </c>
      <c r="AW57" s="48">
        <v>1960.5629415496603</v>
      </c>
      <c r="AX57" s="48">
        <v>1982.222880831411</v>
      </c>
      <c r="AY57" s="48">
        <v>9.5052988654723194</v>
      </c>
      <c r="AZ57" s="48">
        <v>9.6103116615003277</v>
      </c>
      <c r="BA57" s="48">
        <v>326.35065235516061</v>
      </c>
      <c r="BB57" s="48">
        <v>329.95611442157372</v>
      </c>
      <c r="BC57" s="50">
        <v>109.09225952594143</v>
      </c>
      <c r="BD57" s="57">
        <v>0.25063306396971302</v>
      </c>
      <c r="BE57" s="57">
        <v>3.0728995702338339E-2</v>
      </c>
      <c r="BF57" s="48">
        <v>9.5052990000000008</v>
      </c>
      <c r="BG57" s="50">
        <v>109.09225952594143</v>
      </c>
      <c r="BH57" s="57">
        <v>0.25063306396971302</v>
      </c>
      <c r="BI57" s="57">
        <v>3.0728995702338339E-2</v>
      </c>
      <c r="BJ57" s="39" t="s">
        <v>42</v>
      </c>
      <c r="BK57" s="39" t="s">
        <v>318</v>
      </c>
      <c r="BL57" s="39" t="s">
        <v>366</v>
      </c>
      <c r="BM57" s="39"/>
      <c r="BN57" s="93">
        <v>15.590424218280242</v>
      </c>
      <c r="BO57" s="93">
        <v>1.2116542291054044</v>
      </c>
      <c r="BP57" s="39">
        <v>1.3765071939760019</v>
      </c>
      <c r="BQ57" s="39">
        <v>25.756977826218701</v>
      </c>
      <c r="BR57" s="39">
        <v>41.073552134698829</v>
      </c>
      <c r="BS57" s="39">
        <v>5.3440746235710996</v>
      </c>
      <c r="BT57" s="39">
        <v>21.99878831747947</v>
      </c>
      <c r="BU57" s="39">
        <v>61.991965315548356</v>
      </c>
      <c r="BV57" s="52"/>
      <c r="BW57" s="52"/>
      <c r="BX57" s="52"/>
      <c r="BY57" s="52"/>
      <c r="BZ57" s="52"/>
      <c r="CA57" s="52"/>
      <c r="CB57" s="52">
        <v>1.376507194</v>
      </c>
      <c r="CC57" s="52">
        <v>25.75697783</v>
      </c>
      <c r="CD57" s="52">
        <v>41.073552130000003</v>
      </c>
      <c r="CE57" s="52">
        <v>5.3440746240000001</v>
      </c>
      <c r="CF57" s="52">
        <v>21.998788319999999</v>
      </c>
      <c r="CG57" s="52">
        <v>61.991965319999998</v>
      </c>
      <c r="CH57" s="39" t="s">
        <v>42</v>
      </c>
      <c r="CI57" s="39" t="s">
        <v>114</v>
      </c>
      <c r="CJ57" s="39" t="s">
        <v>42</v>
      </c>
      <c r="CK57" s="48">
        <v>0</v>
      </c>
      <c r="CL57" s="48">
        <v>0</v>
      </c>
      <c r="CM57" s="48">
        <v>4.022919256848248E-2</v>
      </c>
      <c r="CN57" s="48">
        <v>0.9339728894435273</v>
      </c>
      <c r="CO57" s="48">
        <v>2.7663042446497772E-3</v>
      </c>
      <c r="CP57" s="48">
        <v>1.7005022353210459E-2</v>
      </c>
      <c r="CQ57" s="48">
        <v>6.0265913901298724E-3</v>
      </c>
      <c r="CR57" s="39" t="s">
        <v>421</v>
      </c>
      <c r="CS57" s="48">
        <v>4.022919256848248E-2</v>
      </c>
      <c r="CT57" s="48">
        <v>0.95977080743151733</v>
      </c>
      <c r="CU57" s="39" t="s">
        <v>42</v>
      </c>
      <c r="CV57" s="40"/>
      <c r="CW57" s="40"/>
      <c r="CX57" s="40"/>
      <c r="CY57" s="40"/>
      <c r="CZ57" s="40"/>
      <c r="DA57" s="40"/>
      <c r="DB57" s="40"/>
      <c r="DC57" s="40"/>
      <c r="DD57" s="40"/>
      <c r="DE57" s="40"/>
      <c r="DF57" s="40"/>
      <c r="DG57" s="40"/>
      <c r="DH57" s="75"/>
    </row>
    <row r="58" spans="1:112" x14ac:dyDescent="0.3">
      <c r="A58" s="73">
        <v>2</v>
      </c>
      <c r="B58" s="39" t="s">
        <v>445</v>
      </c>
      <c r="C58" s="39">
        <v>25</v>
      </c>
      <c r="D58" s="39" t="s">
        <v>86</v>
      </c>
      <c r="E58" s="44">
        <v>44433</v>
      </c>
      <c r="F58" s="43">
        <v>0.64236111111111105</v>
      </c>
      <c r="G58" s="39" t="s">
        <v>87</v>
      </c>
      <c r="H58" s="39" t="s">
        <v>145</v>
      </c>
      <c r="I58" s="39">
        <v>20.3</v>
      </c>
      <c r="J58" s="39">
        <v>8.157</v>
      </c>
      <c r="K58" s="39">
        <v>91.7</v>
      </c>
      <c r="L58" s="39">
        <v>7.66</v>
      </c>
      <c r="M58" s="39">
        <v>24.5</v>
      </c>
      <c r="N58" s="39">
        <v>14.8</v>
      </c>
      <c r="O58" s="39" t="s">
        <v>342</v>
      </c>
      <c r="P58" s="39" t="s">
        <v>344</v>
      </c>
      <c r="Q58" s="39" t="s">
        <v>344</v>
      </c>
      <c r="R58" s="39">
        <v>11.6</v>
      </c>
      <c r="S58" s="46" t="s">
        <v>109</v>
      </c>
      <c r="T58" s="46">
        <f>(0.45+0.46+0.47)/3</f>
        <v>0.45999999999999996</v>
      </c>
      <c r="U58" s="47">
        <v>51.379533000000002</v>
      </c>
      <c r="V58" s="39">
        <v>4.0390829999999998</v>
      </c>
      <c r="W58" s="39">
        <v>1</v>
      </c>
      <c r="X58" s="39" t="s">
        <v>143</v>
      </c>
      <c r="Y58" s="39">
        <v>2</v>
      </c>
      <c r="Z58" s="40">
        <v>4133.08</v>
      </c>
      <c r="AA58" s="48">
        <v>4.5</v>
      </c>
      <c r="AB58" s="39">
        <v>3.2</v>
      </c>
      <c r="AC58" s="39">
        <v>29.8</v>
      </c>
      <c r="AD58" s="39">
        <v>33</v>
      </c>
      <c r="AE58" s="39">
        <v>1.4723999999999999</v>
      </c>
      <c r="AF58" s="39">
        <v>2.24E-2</v>
      </c>
      <c r="AG58" s="39">
        <v>4.3900000000000002E-2</v>
      </c>
      <c r="AH58" s="39">
        <v>0.98309999999999997</v>
      </c>
      <c r="AI58" s="39">
        <v>0.157</v>
      </c>
      <c r="AJ58" s="39">
        <v>0.12130000000000001</v>
      </c>
      <c r="AK58" s="39">
        <v>9.3783439490445861</v>
      </c>
      <c r="AL58" s="40" t="s">
        <v>373</v>
      </c>
      <c r="AM58" s="39"/>
      <c r="AN58" s="42">
        <v>20.8</v>
      </c>
      <c r="AO58" s="42">
        <v>4</v>
      </c>
      <c r="AP58" s="42">
        <v>0</v>
      </c>
      <c r="AQ58" s="42">
        <v>0</v>
      </c>
      <c r="AR58" s="21">
        <v>697.22222220000003</v>
      </c>
      <c r="AS58" s="39">
        <v>1.4666063792923894</v>
      </c>
      <c r="AT58" s="39">
        <v>65.411054108543809</v>
      </c>
      <c r="AU58" s="39" t="s">
        <v>358</v>
      </c>
      <c r="AV58" s="39" t="s">
        <v>359</v>
      </c>
      <c r="AW58" s="48">
        <v>1298.3018836087915</v>
      </c>
      <c r="AX58" s="48">
        <v>1296.0935116346311</v>
      </c>
      <c r="AY58" s="48">
        <v>3.3479490185838516</v>
      </c>
      <c r="AZ58" s="48">
        <v>3.3422542592394318</v>
      </c>
      <c r="BA58" s="48">
        <v>204.10156347659762</v>
      </c>
      <c r="BB58" s="48">
        <v>203.75439293147667</v>
      </c>
      <c r="BC58" s="50">
        <v>80.576809662057855</v>
      </c>
      <c r="BD58" s="57">
        <v>0.31432982021157002</v>
      </c>
      <c r="BE58" s="57">
        <v>3.9576174796733657E-2</v>
      </c>
      <c r="BF58" s="48">
        <v>3.3479489999999998</v>
      </c>
      <c r="BG58" s="50">
        <v>80.576809662057855</v>
      </c>
      <c r="BH58" s="57">
        <v>0.31432982021157002</v>
      </c>
      <c r="BI58" s="57">
        <v>3.9576174796733657E-2</v>
      </c>
      <c r="BJ58" s="39" t="s">
        <v>35</v>
      </c>
      <c r="BK58" s="39" t="s">
        <v>315</v>
      </c>
      <c r="BL58" s="39" t="s">
        <v>368</v>
      </c>
      <c r="BM58" s="39" t="s">
        <v>370</v>
      </c>
      <c r="BN58" s="93">
        <v>10.307349965859663</v>
      </c>
      <c r="BO58" s="93">
        <v>1.068122303166936</v>
      </c>
      <c r="BP58" s="39">
        <v>10.229100012542457</v>
      </c>
      <c r="BQ58" s="39">
        <v>22.642547868621854</v>
      </c>
      <c r="BR58" s="39">
        <v>45.319234875109878</v>
      </c>
      <c r="BS58" s="39">
        <v>4.1705028170250955</v>
      </c>
      <c r="BT58" s="39">
        <v>19.601255454719052</v>
      </c>
      <c r="BU58" s="39">
        <v>53.322739313287052</v>
      </c>
      <c r="BV58" s="52"/>
      <c r="BW58" s="52"/>
      <c r="BX58" s="52"/>
      <c r="BY58" s="52"/>
      <c r="BZ58" s="52"/>
      <c r="CA58" s="52"/>
      <c r="CB58" s="52">
        <v>10.22910001</v>
      </c>
      <c r="CC58" s="52">
        <v>22.642547870000001</v>
      </c>
      <c r="CD58" s="52">
        <v>45.319234880000003</v>
      </c>
      <c r="CE58" s="52">
        <v>4.170502817</v>
      </c>
      <c r="CF58" s="52">
        <v>19.60125545</v>
      </c>
      <c r="CG58" s="52">
        <v>53.322739310000003</v>
      </c>
      <c r="CH58" s="39" t="s">
        <v>35</v>
      </c>
      <c r="CI58" s="39" t="s">
        <v>35</v>
      </c>
      <c r="CJ58" s="39" t="s">
        <v>35</v>
      </c>
      <c r="CK58" s="48">
        <v>0.15315775267157139</v>
      </c>
      <c r="CL58" s="48">
        <v>0.46886900245160906</v>
      </c>
      <c r="CM58" s="48">
        <v>0.29574085383574872</v>
      </c>
      <c r="CN58" s="48">
        <v>1.2182411305277734E-3</v>
      </c>
      <c r="CO58" s="48">
        <v>6.5521307674361942E-2</v>
      </c>
      <c r="CP58" s="48">
        <v>0</v>
      </c>
      <c r="CQ58" s="48">
        <v>1.5492842236181139E-2</v>
      </c>
      <c r="CR58" s="39" t="s">
        <v>414</v>
      </c>
      <c r="CS58" s="48">
        <v>0.76460985628735778</v>
      </c>
      <c r="CT58" s="48">
        <v>8.2232391041070857E-2</v>
      </c>
      <c r="CU58" s="39" t="s">
        <v>418</v>
      </c>
      <c r="CV58" s="40"/>
      <c r="CW58" s="40"/>
      <c r="CX58" s="40"/>
      <c r="CY58" s="40"/>
      <c r="CZ58" s="40"/>
      <c r="DA58" s="40"/>
      <c r="DB58" s="40"/>
      <c r="DC58" s="40"/>
      <c r="DD58" s="40"/>
      <c r="DE58" s="40"/>
      <c r="DF58" s="40"/>
      <c r="DG58" s="40"/>
      <c r="DH58" s="75"/>
    </row>
    <row r="59" spans="1:112" x14ac:dyDescent="0.3">
      <c r="A59" s="73">
        <v>2</v>
      </c>
      <c r="B59" s="39" t="s">
        <v>445</v>
      </c>
      <c r="C59" s="39">
        <v>26</v>
      </c>
      <c r="D59" s="39" t="s">
        <v>88</v>
      </c>
      <c r="E59" s="44">
        <v>44433</v>
      </c>
      <c r="F59" s="43">
        <v>0.59444444444444444</v>
      </c>
      <c r="G59" s="39" t="s">
        <v>89</v>
      </c>
      <c r="H59" s="39" t="s">
        <v>145</v>
      </c>
      <c r="I59" s="39">
        <v>20</v>
      </c>
      <c r="J59" s="39">
        <v>8.1890000000000001</v>
      </c>
      <c r="K59" s="39">
        <v>93.6</v>
      </c>
      <c r="L59" s="39">
        <v>7.75</v>
      </c>
      <c r="M59" s="39">
        <v>28.7</v>
      </c>
      <c r="N59" s="39">
        <v>17.600000000000001</v>
      </c>
      <c r="O59" s="39" t="s">
        <v>342</v>
      </c>
      <c r="P59" s="39" t="s">
        <v>344</v>
      </c>
      <c r="Q59" s="39" t="s">
        <v>344</v>
      </c>
      <c r="R59" s="39">
        <v>9.3000000000000007</v>
      </c>
      <c r="S59" s="46" t="s">
        <v>109</v>
      </c>
      <c r="T59" s="46">
        <f>(0.51+0.52+0.58)/3</f>
        <v>0.53666666666666663</v>
      </c>
      <c r="U59" s="47">
        <v>51.422232999999999</v>
      </c>
      <c r="V59" s="39">
        <v>3.9790670000000001</v>
      </c>
      <c r="W59" s="39">
        <v>1</v>
      </c>
      <c r="X59" s="39" t="s">
        <v>143</v>
      </c>
      <c r="Y59" s="39">
        <v>2</v>
      </c>
      <c r="Z59" s="40">
        <v>5422.59</v>
      </c>
      <c r="AA59" s="48">
        <v>4.5</v>
      </c>
      <c r="AB59" s="39">
        <v>1.2</v>
      </c>
      <c r="AC59" s="39">
        <v>32.200000000000003</v>
      </c>
      <c r="AD59" s="39">
        <v>33.299999999999997</v>
      </c>
      <c r="AE59" s="40">
        <v>1.7467999999999999</v>
      </c>
      <c r="AF59" s="40">
        <v>1.72E-2</v>
      </c>
      <c r="AG59" s="39">
        <v>5.8099999999999999E-2</v>
      </c>
      <c r="AH59" s="40">
        <v>0.94330000000000003</v>
      </c>
      <c r="AI59" s="40">
        <v>0.15959999999999999</v>
      </c>
      <c r="AJ59" s="39">
        <v>0.1215</v>
      </c>
      <c r="AK59" s="39">
        <v>10.944862155388471</v>
      </c>
      <c r="AL59" s="40" t="s">
        <v>373</v>
      </c>
      <c r="AM59" s="39"/>
      <c r="AN59" s="42">
        <v>20.9</v>
      </c>
      <c r="AO59" s="42">
        <v>3</v>
      </c>
      <c r="AP59" s="42">
        <v>0</v>
      </c>
      <c r="AQ59" s="42">
        <v>0</v>
      </c>
      <c r="AR59" s="21">
        <v>755.55555560000005</v>
      </c>
      <c r="AS59" s="39">
        <v>1.4035982782685217</v>
      </c>
      <c r="AT59" s="39">
        <v>70.695528553830229</v>
      </c>
      <c r="AU59" s="39" t="s">
        <v>358</v>
      </c>
      <c r="AV59" s="39" t="s">
        <v>359</v>
      </c>
      <c r="AW59" s="48">
        <v>1685.3527910848411</v>
      </c>
      <c r="AX59" s="48">
        <v>1680.1944251199495</v>
      </c>
      <c r="AY59" s="48">
        <v>6.004104606575587</v>
      </c>
      <c r="AZ59" s="48">
        <v>5.9857278198185133</v>
      </c>
      <c r="BA59" s="48">
        <v>311.56252987471368</v>
      </c>
      <c r="BB59" s="48">
        <v>310.60892920514294</v>
      </c>
      <c r="BC59" s="50">
        <v>79.781649711011482</v>
      </c>
      <c r="BD59" s="57">
        <v>0.30499744742337975</v>
      </c>
      <c r="BE59" s="57">
        <v>5.026651620246135E-2</v>
      </c>
      <c r="BF59" s="48">
        <v>6.004105</v>
      </c>
      <c r="BG59" s="50">
        <v>79.781649711011482</v>
      </c>
      <c r="BH59" s="57">
        <v>0.30499744742337975</v>
      </c>
      <c r="BI59" s="57">
        <v>5.026651620246135E-2</v>
      </c>
      <c r="BJ59" s="39" t="s">
        <v>42</v>
      </c>
      <c r="BK59" s="40" t="s">
        <v>319</v>
      </c>
      <c r="BL59" s="39" t="s">
        <v>366</v>
      </c>
      <c r="BM59" s="39"/>
      <c r="BN59" s="93">
        <v>10.104788512632014</v>
      </c>
      <c r="BO59" s="93">
        <v>1.6227707977236741</v>
      </c>
      <c r="BP59" s="39">
        <v>9.2362855551258018</v>
      </c>
      <c r="BQ59" s="39">
        <v>23.544171807179819</v>
      </c>
      <c r="BR59" s="39">
        <v>46.007325958405815</v>
      </c>
      <c r="BS59" s="39">
        <v>4.3019271418546126</v>
      </c>
      <c r="BT59" s="39">
        <v>14.01340326926031</v>
      </c>
      <c r="BU59" s="39">
        <v>50.173460091810817</v>
      </c>
      <c r="BV59" s="52"/>
      <c r="BW59" s="52"/>
      <c r="BX59" s="52"/>
      <c r="BY59" s="52"/>
      <c r="BZ59" s="52"/>
      <c r="CA59" s="52"/>
      <c r="CB59" s="52">
        <v>9.2362855550000003</v>
      </c>
      <c r="CC59" s="52">
        <v>23.544171810000002</v>
      </c>
      <c r="CD59" s="52">
        <v>46.007325960000003</v>
      </c>
      <c r="CE59" s="52">
        <v>4.3019271420000003</v>
      </c>
      <c r="CF59" s="52">
        <v>14.01340327</v>
      </c>
      <c r="CG59" s="52">
        <v>50.173460089999999</v>
      </c>
      <c r="CH59" s="39" t="s">
        <v>42</v>
      </c>
      <c r="CI59" s="39" t="s">
        <v>35</v>
      </c>
      <c r="CJ59" s="39" t="s">
        <v>42</v>
      </c>
      <c r="CK59" s="48">
        <v>0</v>
      </c>
      <c r="CL59" s="48">
        <v>0</v>
      </c>
      <c r="CM59" s="48">
        <v>0</v>
      </c>
      <c r="CN59" s="48">
        <v>1.1784213036389657E-4</v>
      </c>
      <c r="CO59" s="48">
        <v>0</v>
      </c>
      <c r="CP59" s="48">
        <v>0</v>
      </c>
      <c r="CQ59" s="48">
        <v>0.99988215786963608</v>
      </c>
      <c r="CR59" s="39" t="s">
        <v>422</v>
      </c>
      <c r="CS59" s="48">
        <v>0</v>
      </c>
      <c r="CT59" s="48">
        <v>1</v>
      </c>
      <c r="CU59" s="39" t="s">
        <v>42</v>
      </c>
      <c r="CV59" s="40"/>
      <c r="CW59" s="40"/>
      <c r="CX59" s="40"/>
      <c r="CY59" s="40"/>
      <c r="CZ59" s="40"/>
      <c r="DA59" s="40"/>
      <c r="DB59" s="40"/>
      <c r="DC59" s="40"/>
      <c r="DD59" s="40"/>
      <c r="DE59" s="40"/>
      <c r="DF59" s="40"/>
      <c r="DG59" s="40"/>
      <c r="DH59" s="75"/>
    </row>
    <row r="60" spans="1:112" x14ac:dyDescent="0.3">
      <c r="A60" s="73">
        <v>2</v>
      </c>
      <c r="B60" s="39" t="s">
        <v>445</v>
      </c>
      <c r="C60" s="39">
        <v>27</v>
      </c>
      <c r="D60" s="39" t="s">
        <v>90</v>
      </c>
      <c r="E60" s="44">
        <v>44433</v>
      </c>
      <c r="F60" s="43">
        <v>0.55208333333333337</v>
      </c>
      <c r="G60" s="39" t="s">
        <v>91</v>
      </c>
      <c r="H60" s="39" t="s">
        <v>145</v>
      </c>
      <c r="I60" s="39">
        <v>19.8</v>
      </c>
      <c r="J60" s="39">
        <v>8.1999999999999993</v>
      </c>
      <c r="K60" s="39">
        <v>94.4</v>
      </c>
      <c r="L60" s="39">
        <v>7.77</v>
      </c>
      <c r="M60" s="39">
        <v>30.3</v>
      </c>
      <c r="N60" s="39">
        <v>18.7</v>
      </c>
      <c r="O60" s="39" t="s">
        <v>342</v>
      </c>
      <c r="P60" s="39" t="s">
        <v>345</v>
      </c>
      <c r="Q60" s="39" t="s">
        <v>345</v>
      </c>
      <c r="R60" s="39">
        <v>6.5</v>
      </c>
      <c r="S60" s="46" t="s">
        <v>109</v>
      </c>
      <c r="T60" s="46">
        <f>(0.82+0.83+0.84)/3</f>
        <v>0.83</v>
      </c>
      <c r="U60" s="47">
        <v>51.425716999999999</v>
      </c>
      <c r="V60" s="39">
        <v>3.9214329999999999</v>
      </c>
      <c r="W60" s="39">
        <v>1</v>
      </c>
      <c r="X60" s="39" t="s">
        <v>143</v>
      </c>
      <c r="Y60" s="39">
        <v>2</v>
      </c>
      <c r="Z60" s="40">
        <v>4282.18</v>
      </c>
      <c r="AA60" s="48">
        <v>9.5</v>
      </c>
      <c r="AB60" s="39">
        <v>1.5</v>
      </c>
      <c r="AC60" s="39">
        <v>33.4</v>
      </c>
      <c r="AD60" s="39">
        <v>34.9</v>
      </c>
      <c r="AE60" s="40">
        <v>1.4192</v>
      </c>
      <c r="AF60" s="40">
        <v>2.8400000000000002E-2</v>
      </c>
      <c r="AG60" s="39">
        <v>6.0199999999999997E-2</v>
      </c>
      <c r="AH60" s="40">
        <v>0.93030000000000002</v>
      </c>
      <c r="AI60" s="40">
        <v>0.109</v>
      </c>
      <c r="AJ60" s="39">
        <v>9.2700000000000005E-2</v>
      </c>
      <c r="AK60" s="39">
        <v>13.020183486238532</v>
      </c>
      <c r="AL60" s="40" t="s">
        <v>372</v>
      </c>
      <c r="AM60" s="39"/>
      <c r="AN60" s="42">
        <v>19.8</v>
      </c>
      <c r="AO60" s="42">
        <v>3</v>
      </c>
      <c r="AP60" s="42">
        <v>0</v>
      </c>
      <c r="AQ60" s="42">
        <v>0</v>
      </c>
      <c r="AR60" s="21">
        <v>702.77777779999997</v>
      </c>
      <c r="AS60" s="39">
        <v>1.4814549457962525</v>
      </c>
      <c r="AT60" s="39">
        <v>74.853193907635074</v>
      </c>
      <c r="AU60" s="39" t="s">
        <v>358</v>
      </c>
      <c r="AV60" s="39" t="s">
        <v>359</v>
      </c>
      <c r="AW60" s="48">
        <v>1098.9837113770627</v>
      </c>
      <c r="AX60" s="48">
        <v>1098.9837113770627</v>
      </c>
      <c r="AY60" s="48">
        <v>6.9056579030155936</v>
      </c>
      <c r="AZ60" s="48">
        <v>6.9056579030155936</v>
      </c>
      <c r="BA60" s="48">
        <v>259.91129801223536</v>
      </c>
      <c r="BB60" s="48">
        <v>259.91129801223536</v>
      </c>
      <c r="BC60" s="50">
        <v>80.892689170815615</v>
      </c>
      <c r="BD60" s="57">
        <v>0.31427436209009441</v>
      </c>
      <c r="BE60" s="57">
        <v>5.5307254478621976E-2</v>
      </c>
      <c r="BF60" s="48">
        <v>6.9056579999999999</v>
      </c>
      <c r="BG60" s="50">
        <v>80.892689170815615</v>
      </c>
      <c r="BH60" s="57">
        <v>0.31427436209009441</v>
      </c>
      <c r="BI60" s="57">
        <v>5.5307254478621976E-2</v>
      </c>
      <c r="BJ60" s="39" t="s">
        <v>42</v>
      </c>
      <c r="BK60" s="39" t="s">
        <v>319</v>
      </c>
      <c r="BL60" s="39" t="s">
        <v>366</v>
      </c>
      <c r="BM60" s="39"/>
      <c r="BN60" s="93">
        <v>10.491355274041629</v>
      </c>
      <c r="BO60" s="93">
        <v>2.4146012385342739</v>
      </c>
      <c r="BP60" s="39">
        <v>1.8120347584500229</v>
      </c>
      <c r="BQ60" s="39">
        <v>26.82414945182698</v>
      </c>
      <c r="BR60" s="39">
        <v>43.574758517088654</v>
      </c>
      <c r="BS60" s="39">
        <v>3.8702683581807205</v>
      </c>
      <c r="BT60" s="39">
        <v>11.226727412487319</v>
      </c>
      <c r="BU60" s="39">
        <v>51.191082506150018</v>
      </c>
      <c r="BV60" s="52"/>
      <c r="BW60" s="52"/>
      <c r="BX60" s="52"/>
      <c r="BY60" s="52"/>
      <c r="BZ60" s="52"/>
      <c r="CA60" s="52"/>
      <c r="CB60" s="52">
        <v>1.812034758</v>
      </c>
      <c r="CC60" s="52">
        <v>26.82414945</v>
      </c>
      <c r="CD60" s="52">
        <v>43.574758520000003</v>
      </c>
      <c r="CE60" s="52">
        <v>3.8702683580000001</v>
      </c>
      <c r="CF60" s="52">
        <v>11.226727410000001</v>
      </c>
      <c r="CG60" s="52">
        <v>51.191082510000001</v>
      </c>
      <c r="CH60" s="39" t="s">
        <v>35</v>
      </c>
      <c r="CI60" s="39" t="s">
        <v>42</v>
      </c>
      <c r="CJ60" s="39" t="s">
        <v>42</v>
      </c>
      <c r="CK60" s="48">
        <v>8.2062104654383239E-2</v>
      </c>
      <c r="CL60" s="48">
        <v>0.19964934817472593</v>
      </c>
      <c r="CM60" s="48">
        <v>0.63785462432768747</v>
      </c>
      <c r="CN60" s="48">
        <v>9.3076275730011558E-3</v>
      </c>
      <c r="CO60" s="48">
        <v>5.3101096963216632E-2</v>
      </c>
      <c r="CP60" s="48">
        <v>5.3798315089682537E-3</v>
      </c>
      <c r="CQ60" s="48">
        <v>1.2645366798017402E-2</v>
      </c>
      <c r="CR60" s="39" t="s">
        <v>415</v>
      </c>
      <c r="CS60" s="48">
        <v>0.83750397250241337</v>
      </c>
      <c r="CT60" s="48">
        <v>8.0433922843203456E-2</v>
      </c>
      <c r="CU60" s="39" t="s">
        <v>418</v>
      </c>
      <c r="CV60" s="40"/>
      <c r="CW60" s="40"/>
      <c r="CX60" s="40"/>
      <c r="CY60" s="40"/>
      <c r="CZ60" s="40"/>
      <c r="DA60" s="40"/>
      <c r="DB60" s="40"/>
      <c r="DC60" s="40"/>
      <c r="DD60" s="40"/>
      <c r="DE60" s="40"/>
      <c r="DF60" s="40"/>
      <c r="DG60" s="40"/>
      <c r="DH60" s="75"/>
    </row>
    <row r="61" spans="1:112" x14ac:dyDescent="0.3">
      <c r="A61" s="73">
        <v>2</v>
      </c>
      <c r="B61" s="39" t="s">
        <v>445</v>
      </c>
      <c r="C61" s="39">
        <v>28</v>
      </c>
      <c r="D61" s="39" t="s">
        <v>105</v>
      </c>
      <c r="E61" s="44">
        <v>44428</v>
      </c>
      <c r="F61" s="43">
        <v>0.51250000000000007</v>
      </c>
      <c r="G61" s="39" t="s">
        <v>92</v>
      </c>
      <c r="H61" s="39" t="s">
        <v>145</v>
      </c>
      <c r="I61" s="39">
        <v>19.399999999999999</v>
      </c>
      <c r="J61" s="39">
        <v>8.2170000000000005</v>
      </c>
      <c r="K61" s="39">
        <v>95.3</v>
      </c>
      <c r="L61" s="39">
        <v>7.74</v>
      </c>
      <c r="M61" s="39">
        <v>34.200000000000003</v>
      </c>
      <c r="N61" s="39">
        <v>21.3</v>
      </c>
      <c r="O61" s="39" t="s">
        <v>342</v>
      </c>
      <c r="P61" s="39" t="s">
        <v>345</v>
      </c>
      <c r="Q61" s="39" t="s">
        <v>345</v>
      </c>
      <c r="R61" s="39">
        <v>2.7</v>
      </c>
      <c r="S61" s="46" t="s">
        <v>109</v>
      </c>
      <c r="T61" s="46">
        <f>(0.21+0.26+0.29)/3</f>
        <v>0.25333333333333335</v>
      </c>
      <c r="U61" s="47">
        <v>51.340481026710499</v>
      </c>
      <c r="V61" s="39">
        <v>3.8270798438231801</v>
      </c>
      <c r="W61" s="39">
        <v>1</v>
      </c>
      <c r="X61" s="39" t="s">
        <v>143</v>
      </c>
      <c r="Y61" s="39">
        <v>2</v>
      </c>
      <c r="Z61" s="40">
        <v>5142.28</v>
      </c>
      <c r="AA61" s="48">
        <v>8.9800002098083489</v>
      </c>
      <c r="AB61" s="39">
        <v>1.5</v>
      </c>
      <c r="AC61" s="39">
        <v>32.6</v>
      </c>
      <c r="AD61" s="39">
        <v>34.200000000000003</v>
      </c>
      <c r="AE61" s="39">
        <v>1.2608999999999999</v>
      </c>
      <c r="AF61" s="39">
        <v>1.1599999999999999E-2</v>
      </c>
      <c r="AG61" s="39">
        <v>2.7699999999999999E-2</v>
      </c>
      <c r="AH61" s="39">
        <v>0.46829999999999999</v>
      </c>
      <c r="AI61" s="39">
        <v>0.11409999999999999</v>
      </c>
      <c r="AJ61" s="39">
        <v>8.2000000000000003E-2</v>
      </c>
      <c r="AK61" s="39">
        <v>11.050832602979842</v>
      </c>
      <c r="AL61" s="40" t="s">
        <v>373</v>
      </c>
      <c r="AM61" s="39"/>
      <c r="AN61" s="39">
        <v>20.100000000000001</v>
      </c>
      <c r="AO61" s="39">
        <v>2.38</v>
      </c>
      <c r="AP61" s="39">
        <v>0</v>
      </c>
      <c r="AQ61" s="39">
        <v>0.14000000000000001</v>
      </c>
      <c r="AR61" s="21">
        <v>316.66666670000001</v>
      </c>
      <c r="AS61" s="39">
        <v>1.361167233480377</v>
      </c>
      <c r="AT61" s="39">
        <v>77.800966538337278</v>
      </c>
      <c r="AU61" s="39" t="s">
        <v>358</v>
      </c>
      <c r="AV61" s="39" t="s">
        <v>359</v>
      </c>
      <c r="AW61" s="53">
        <v>129.2194226664287</v>
      </c>
      <c r="AX61" s="53">
        <v>128.91097050661102</v>
      </c>
      <c r="AY61" s="53">
        <v>0.70283333203477771</v>
      </c>
      <c r="AZ61" s="53">
        <v>0.70115563951159143</v>
      </c>
      <c r="BA61" s="53">
        <v>46.045689365450386</v>
      </c>
      <c r="BB61" s="53">
        <v>45.935776381457721</v>
      </c>
      <c r="BC61" s="50">
        <v>76.484395078642748</v>
      </c>
      <c r="BD61" s="57">
        <v>0.27553376941630708</v>
      </c>
      <c r="BE61" s="57">
        <v>4.5370745748540331E-2</v>
      </c>
      <c r="BF61" s="48">
        <v>0.70283300000000004</v>
      </c>
      <c r="BG61" s="50">
        <v>76.484395078642748</v>
      </c>
      <c r="BH61" s="57">
        <v>0.27553376941630708</v>
      </c>
      <c r="BI61" s="57">
        <v>4.5370745748540331E-2</v>
      </c>
      <c r="BJ61" s="39" t="s">
        <v>39</v>
      </c>
      <c r="BK61" s="39" t="s">
        <v>109</v>
      </c>
      <c r="BL61" s="39"/>
      <c r="BM61" s="39"/>
      <c r="BN61" s="93">
        <v>9.8177197378403349</v>
      </c>
      <c r="BO61" s="93">
        <v>2.2157386961499115</v>
      </c>
      <c r="BP61" s="39">
        <v>3.943749448234207</v>
      </c>
      <c r="BQ61" s="39">
        <v>23.752731246297301</v>
      </c>
      <c r="BR61" s="39">
        <v>46.895344956665433</v>
      </c>
      <c r="BS61" s="39"/>
      <c r="BT61" s="39"/>
      <c r="BU61" s="39"/>
      <c r="BV61" s="52"/>
      <c r="BW61" s="52"/>
      <c r="BX61" s="52"/>
      <c r="BY61" s="52"/>
      <c r="BZ61" s="52"/>
      <c r="CA61" s="52"/>
      <c r="CB61" s="52">
        <v>3.9437494480000002</v>
      </c>
      <c r="CC61" s="52">
        <v>23.75273125</v>
      </c>
      <c r="CD61" s="52">
        <v>46.895344960000003</v>
      </c>
      <c r="CE61" s="52"/>
      <c r="CF61" s="52"/>
      <c r="CG61" s="52"/>
      <c r="CH61" s="39" t="s">
        <v>39</v>
      </c>
      <c r="CI61" s="39" t="s">
        <v>35</v>
      </c>
      <c r="CJ61" s="39" t="s">
        <v>39</v>
      </c>
      <c r="CK61" s="48">
        <v>0.63326538220950013</v>
      </c>
      <c r="CL61" s="48">
        <v>2.15831870352459E-2</v>
      </c>
      <c r="CM61" s="48">
        <v>0.20770300583620349</v>
      </c>
      <c r="CN61" s="48">
        <v>8.1683716733683548E-3</v>
      </c>
      <c r="CO61" s="48">
        <v>4.6486398949323195E-2</v>
      </c>
      <c r="CP61" s="48">
        <v>0</v>
      </c>
      <c r="CQ61" s="48">
        <v>8.2793654296358821E-2</v>
      </c>
      <c r="CR61" s="39" t="s">
        <v>420</v>
      </c>
      <c r="CS61" s="48">
        <v>0.22928619287144938</v>
      </c>
      <c r="CT61" s="48">
        <v>0.13744842491905038</v>
      </c>
      <c r="CU61" s="39" t="s">
        <v>420</v>
      </c>
      <c r="CV61" s="40"/>
      <c r="CW61" s="40"/>
      <c r="CX61" s="40"/>
      <c r="CY61" s="40"/>
      <c r="CZ61" s="40"/>
      <c r="DA61" s="40"/>
      <c r="DB61" s="40"/>
      <c r="DC61" s="40"/>
      <c r="DD61" s="40"/>
      <c r="DE61" s="40"/>
      <c r="DF61" s="40"/>
      <c r="DG61" s="40"/>
      <c r="DH61" s="75"/>
    </row>
    <row r="62" spans="1:112" x14ac:dyDescent="0.3">
      <c r="A62" s="73">
        <v>2</v>
      </c>
      <c r="B62" s="39" t="s">
        <v>445</v>
      </c>
      <c r="C62" s="39">
        <v>29</v>
      </c>
      <c r="D62" s="39" t="s">
        <v>93</v>
      </c>
      <c r="E62" s="44">
        <v>44433</v>
      </c>
      <c r="F62" s="43">
        <v>0.48680555555555555</v>
      </c>
      <c r="G62" s="39" t="s">
        <v>94</v>
      </c>
      <c r="H62" s="39" t="s">
        <v>145</v>
      </c>
      <c r="I62" s="39">
        <v>19.399999999999999</v>
      </c>
      <c r="J62" s="39">
        <v>8.2219999999999995</v>
      </c>
      <c r="K62" s="39">
        <v>92.4</v>
      </c>
      <c r="L62" s="39">
        <v>7.48</v>
      </c>
      <c r="M62" s="39">
        <v>38.4</v>
      </c>
      <c r="N62" s="39">
        <v>24.2</v>
      </c>
      <c r="O62" s="39" t="s">
        <v>342</v>
      </c>
      <c r="P62" s="39" t="s">
        <v>345</v>
      </c>
      <c r="Q62" s="39" t="s">
        <v>345</v>
      </c>
      <c r="R62" s="39">
        <v>16.100000000000001</v>
      </c>
      <c r="S62" s="46" t="s">
        <v>109</v>
      </c>
      <c r="T62" s="46">
        <f>(0.58+0.52+0.44)/3</f>
        <v>0.51333333333333331</v>
      </c>
      <c r="U62" s="47">
        <v>51.4114</v>
      </c>
      <c r="V62" s="39">
        <v>3.7496830000000001</v>
      </c>
      <c r="W62" s="39">
        <v>1</v>
      </c>
      <c r="X62" s="39" t="s">
        <v>143</v>
      </c>
      <c r="Y62" s="39">
        <v>2</v>
      </c>
      <c r="Z62" s="40">
        <v>5973.85</v>
      </c>
      <c r="AA62" s="48">
        <v>7.4</v>
      </c>
      <c r="AB62" s="39">
        <v>1.3</v>
      </c>
      <c r="AC62" s="39">
        <v>30.2</v>
      </c>
      <c r="AD62" s="39">
        <v>31.5</v>
      </c>
      <c r="AE62" s="39">
        <v>1.125</v>
      </c>
      <c r="AF62" s="39">
        <v>3.4099999999999998E-2</v>
      </c>
      <c r="AG62" s="39">
        <v>3.2099999999999997E-2</v>
      </c>
      <c r="AH62" s="39">
        <v>0.50760000000000005</v>
      </c>
      <c r="AI62" s="39">
        <v>0.1351</v>
      </c>
      <c r="AJ62" s="39">
        <v>7.7299999999999994E-2</v>
      </c>
      <c r="AK62" s="39">
        <v>8.3271650629163592</v>
      </c>
      <c r="AL62" s="40" t="s">
        <v>372</v>
      </c>
      <c r="AM62" s="39"/>
      <c r="AN62" s="42">
        <v>19.8</v>
      </c>
      <c r="AO62" s="42">
        <v>4</v>
      </c>
      <c r="AP62" s="42">
        <v>0</v>
      </c>
      <c r="AQ62" s="42">
        <v>0</v>
      </c>
      <c r="AR62" s="21">
        <v>625</v>
      </c>
      <c r="AS62" s="39">
        <v>1.4421446742498769</v>
      </c>
      <c r="AT62" s="39">
        <v>75.639867570429402</v>
      </c>
      <c r="AU62" s="39" t="s">
        <v>358</v>
      </c>
      <c r="AV62" s="39" t="s">
        <v>359</v>
      </c>
      <c r="AW62" s="53">
        <v>352.09895454816717</v>
      </c>
      <c r="AX62" s="53">
        <v>351.61819134004531</v>
      </c>
      <c r="AY62" s="53">
        <v>37.541709279037406</v>
      </c>
      <c r="AZ62" s="53">
        <v>37.490449051313838</v>
      </c>
      <c r="BA62" s="53">
        <v>143.40545360727145</v>
      </c>
      <c r="BB62" s="53">
        <v>143.20964482951774</v>
      </c>
      <c r="BC62" s="50">
        <v>141.82119629744784</v>
      </c>
      <c r="BD62" s="57">
        <v>0.43546272480549314</v>
      </c>
      <c r="BE62" s="57">
        <v>6.4055027066338713E-2</v>
      </c>
      <c r="BF62" s="48">
        <v>37.541708999999997</v>
      </c>
      <c r="BG62" s="50">
        <v>141.82119629744784</v>
      </c>
      <c r="BH62" s="57">
        <v>0.43546272480549314</v>
      </c>
      <c r="BI62" s="57">
        <v>6.4055027066338713E-2</v>
      </c>
      <c r="BJ62" s="39" t="s">
        <v>35</v>
      </c>
      <c r="BK62" s="39" t="s">
        <v>319</v>
      </c>
      <c r="BL62" s="39" t="s">
        <v>366</v>
      </c>
      <c r="BM62" s="39"/>
      <c r="BN62" s="93">
        <v>8.5481963983809539</v>
      </c>
      <c r="BO62" s="93">
        <v>5.7432821145232564</v>
      </c>
      <c r="BP62" s="39">
        <v>3.5811635182215031</v>
      </c>
      <c r="BQ62" s="39">
        <v>24.480399503831933</v>
      </c>
      <c r="BR62" s="39">
        <v>46.490431896160842</v>
      </c>
      <c r="BS62" s="39">
        <v>5.2177086859709814</v>
      </c>
      <c r="BT62" s="39">
        <v>7.8333023899389298</v>
      </c>
      <c r="BU62" s="39">
        <v>43.715842971577501</v>
      </c>
      <c r="BV62" s="52"/>
      <c r="BW62" s="52"/>
      <c r="BX62" s="52"/>
      <c r="BY62" s="52"/>
      <c r="BZ62" s="52"/>
      <c r="CA62" s="52"/>
      <c r="CB62" s="52">
        <v>3.5811635179999999</v>
      </c>
      <c r="CC62" s="52">
        <v>24.480399500000001</v>
      </c>
      <c r="CD62" s="52">
        <v>46.490431899999997</v>
      </c>
      <c r="CE62" s="52">
        <v>5.2177086859999999</v>
      </c>
      <c r="CF62" s="52">
        <v>7.8333023900000001</v>
      </c>
      <c r="CG62" s="52">
        <v>43.715842969999997</v>
      </c>
      <c r="CH62" s="39" t="s">
        <v>35</v>
      </c>
      <c r="CI62" s="39" t="s">
        <v>35</v>
      </c>
      <c r="CJ62" s="39" t="s">
        <v>35</v>
      </c>
      <c r="CK62" s="48">
        <v>1.4211025937967308E-2</v>
      </c>
      <c r="CL62" s="48">
        <v>0.78910277275975171</v>
      </c>
      <c r="CM62" s="48">
        <v>0.16560418176937436</v>
      </c>
      <c r="CN62" s="48">
        <v>7.5232554671259555E-3</v>
      </c>
      <c r="CO62" s="48">
        <v>0</v>
      </c>
      <c r="CP62" s="48">
        <v>0</v>
      </c>
      <c r="CQ62" s="48">
        <v>2.3558764065780686E-2</v>
      </c>
      <c r="CR62" s="39" t="s">
        <v>414</v>
      </c>
      <c r="CS62" s="48">
        <v>0.95470695452912602</v>
      </c>
      <c r="CT62" s="48">
        <v>3.1082019532906641E-2</v>
      </c>
      <c r="CU62" s="39" t="s">
        <v>418</v>
      </c>
      <c r="CV62" s="40"/>
      <c r="CW62" s="40"/>
      <c r="CX62" s="40"/>
      <c r="CY62" s="40"/>
      <c r="CZ62" s="40"/>
      <c r="DA62" s="40"/>
      <c r="DB62" s="40"/>
      <c r="DC62" s="40"/>
      <c r="DD62" s="40"/>
      <c r="DE62" s="40"/>
      <c r="DF62" s="40"/>
      <c r="DG62" s="40"/>
      <c r="DH62" s="75"/>
    </row>
    <row r="63" spans="1:112" x14ac:dyDescent="0.3">
      <c r="A63" s="73">
        <v>2</v>
      </c>
      <c r="B63" s="39" t="s">
        <v>445</v>
      </c>
      <c r="C63" s="39">
        <v>30</v>
      </c>
      <c r="D63" s="39" t="s">
        <v>95</v>
      </c>
      <c r="E63" s="44">
        <v>44433</v>
      </c>
      <c r="F63" s="43">
        <v>0.39861111111111108</v>
      </c>
      <c r="G63" s="39" t="s">
        <v>96</v>
      </c>
      <c r="H63" s="39" t="s">
        <v>145</v>
      </c>
      <c r="I63" s="39">
        <v>23.7</v>
      </c>
      <c r="J63" s="39">
        <v>8.2579999999999991</v>
      </c>
      <c r="K63" s="39">
        <v>98.6</v>
      </c>
      <c r="L63" s="39">
        <v>7.22</v>
      </c>
      <c r="M63" s="39">
        <v>43.8</v>
      </c>
      <c r="N63" s="39">
        <v>28.2</v>
      </c>
      <c r="O63" s="39" t="s">
        <v>342</v>
      </c>
      <c r="P63" s="39" t="s">
        <v>345</v>
      </c>
      <c r="Q63" s="39" t="s">
        <v>345</v>
      </c>
      <c r="R63" s="39">
        <v>9.5</v>
      </c>
      <c r="S63" s="46" t="s">
        <v>109</v>
      </c>
      <c r="T63" s="46">
        <f>(0.4+0.42+0.5)/3</f>
        <v>0.44</v>
      </c>
      <c r="U63" s="47">
        <v>51.429783</v>
      </c>
      <c r="V63" s="39">
        <v>3.7056499999999999</v>
      </c>
      <c r="W63" s="39">
        <v>1</v>
      </c>
      <c r="X63" s="39" t="s">
        <v>143</v>
      </c>
      <c r="Y63" s="39">
        <v>2</v>
      </c>
      <c r="Z63" s="40">
        <v>7042.54</v>
      </c>
      <c r="AA63" s="48">
        <v>15.5</v>
      </c>
      <c r="AB63" s="39">
        <v>0.4</v>
      </c>
      <c r="AC63" s="39">
        <v>29.3</v>
      </c>
      <c r="AD63" s="39">
        <v>29.7</v>
      </c>
      <c r="AE63" s="39">
        <v>0.80189999999999995</v>
      </c>
      <c r="AF63" s="39">
        <v>3.2599999999999997E-2</v>
      </c>
      <c r="AG63" s="39">
        <v>2.1700000000000001E-2</v>
      </c>
      <c r="AH63" s="39">
        <v>0.32350000000000001</v>
      </c>
      <c r="AI63" s="39">
        <v>8.1000000000000003E-2</v>
      </c>
      <c r="AJ63" s="39">
        <v>4.1399999999999999E-2</v>
      </c>
      <c r="AK63" s="39">
        <v>9.8999999999999986</v>
      </c>
      <c r="AL63" s="40" t="s">
        <v>372</v>
      </c>
      <c r="AM63" s="39"/>
      <c r="AN63" s="42">
        <v>18.3</v>
      </c>
      <c r="AO63" s="42">
        <v>3</v>
      </c>
      <c r="AP63" s="42">
        <v>0</v>
      </c>
      <c r="AQ63" s="42">
        <v>0</v>
      </c>
      <c r="AR63" s="21">
        <v>375</v>
      </c>
      <c r="AS63" s="39">
        <v>1.211498877565319</v>
      </c>
      <c r="AT63" s="39">
        <v>75.97639801082336</v>
      </c>
      <c r="AU63" s="39" t="s">
        <v>358</v>
      </c>
      <c r="AV63" s="39" t="s">
        <v>359</v>
      </c>
      <c r="AW63" s="53">
        <v>594.25246786718401</v>
      </c>
      <c r="AX63" s="53">
        <v>605.26280695273169</v>
      </c>
      <c r="AY63" s="53">
        <v>1.6773814077647302</v>
      </c>
      <c r="AZ63" s="53">
        <v>1.7084600133640768</v>
      </c>
      <c r="BA63" s="53">
        <v>723.56696989999477</v>
      </c>
      <c r="BB63" s="53">
        <v>736.97325446839386</v>
      </c>
      <c r="BC63" s="50">
        <v>78.225046171832133</v>
      </c>
      <c r="BD63" s="57">
        <v>0.22341852162040107</v>
      </c>
      <c r="BE63" s="57">
        <v>3.8901038938874845E-2</v>
      </c>
      <c r="BF63" s="48">
        <v>1.677381</v>
      </c>
      <c r="BG63" s="50">
        <v>78.225046171832133</v>
      </c>
      <c r="BH63" s="57">
        <v>0.22341852162040107</v>
      </c>
      <c r="BI63" s="57">
        <v>3.8901038938874845E-2</v>
      </c>
      <c r="BJ63" s="39" t="s">
        <v>116</v>
      </c>
      <c r="BK63" s="39" t="s">
        <v>319</v>
      </c>
      <c r="BL63" s="39" t="s">
        <v>366</v>
      </c>
      <c r="BM63" s="39"/>
      <c r="BN63" s="93">
        <v>7.2278920129181126</v>
      </c>
      <c r="BO63" s="93">
        <v>6.380341366355526</v>
      </c>
      <c r="BP63" s="39">
        <v>3.9387773861130193</v>
      </c>
      <c r="BQ63" s="39">
        <v>18.801582418165552</v>
      </c>
      <c r="BR63" s="39">
        <v>44.118614976343338</v>
      </c>
      <c r="BS63" s="39">
        <v>3.5301505924090937</v>
      </c>
      <c r="BT63" s="39">
        <v>-17.430760842091608</v>
      </c>
      <c r="BU63" s="39">
        <v>16.716531515336801</v>
      </c>
      <c r="BV63" s="52"/>
      <c r="BW63" s="52"/>
      <c r="BX63" s="52"/>
      <c r="BY63" s="52"/>
      <c r="BZ63" s="52"/>
      <c r="CA63" s="52"/>
      <c r="CB63" s="52">
        <v>3.9387773859999999</v>
      </c>
      <c r="CC63" s="52">
        <v>18.801582419999999</v>
      </c>
      <c r="CD63" s="52">
        <v>44.118614979999997</v>
      </c>
      <c r="CE63" s="52">
        <v>3.530150592</v>
      </c>
      <c r="CF63" s="52">
        <v>-17.430760840000001</v>
      </c>
      <c r="CG63" s="52">
        <v>16.71653152</v>
      </c>
      <c r="CH63" s="39" t="s">
        <v>39</v>
      </c>
      <c r="CI63" s="39" t="s">
        <v>116</v>
      </c>
      <c r="CJ63" s="39" t="s">
        <v>116</v>
      </c>
      <c r="CK63" s="48">
        <v>0.30517317942911126</v>
      </c>
      <c r="CL63" s="48">
        <v>8.3099773325588114E-2</v>
      </c>
      <c r="CM63" s="48">
        <v>0.34249697584033251</v>
      </c>
      <c r="CN63" s="48">
        <v>2.482740651576654E-2</v>
      </c>
      <c r="CO63" s="48">
        <v>1.8051266310162362E-3</v>
      </c>
      <c r="CP63" s="48">
        <v>0</v>
      </c>
      <c r="CQ63" s="48">
        <v>0.24259753825818545</v>
      </c>
      <c r="CR63" s="39" t="s">
        <v>415</v>
      </c>
      <c r="CS63" s="48">
        <v>0.42559674916592061</v>
      </c>
      <c r="CT63" s="48">
        <v>0.26923007140496824</v>
      </c>
      <c r="CU63" s="39" t="s">
        <v>418</v>
      </c>
      <c r="CV63" s="40"/>
      <c r="CW63" s="40"/>
      <c r="CX63" s="40"/>
      <c r="CY63" s="40"/>
      <c r="CZ63" s="40"/>
      <c r="DA63" s="40"/>
      <c r="DB63" s="40"/>
      <c r="DC63" s="40"/>
      <c r="DD63" s="40"/>
      <c r="DE63" s="40"/>
      <c r="DF63" s="40"/>
      <c r="DG63" s="40"/>
      <c r="DH63" s="75"/>
    </row>
    <row r="64" spans="1:112" x14ac:dyDescent="0.3">
      <c r="A64" s="73">
        <v>2</v>
      </c>
      <c r="B64" s="39" t="s">
        <v>445</v>
      </c>
      <c r="C64" s="39">
        <v>31</v>
      </c>
      <c r="D64" s="39" t="s">
        <v>115</v>
      </c>
      <c r="E64" s="44">
        <v>44433</v>
      </c>
      <c r="F64" s="43">
        <v>0.4375</v>
      </c>
      <c r="G64" s="39" t="s">
        <v>97</v>
      </c>
      <c r="H64" s="39" t="s">
        <v>145</v>
      </c>
      <c r="I64" s="39">
        <v>18.899999999999999</v>
      </c>
      <c r="J64" s="39">
        <v>8.1110000000000007</v>
      </c>
      <c r="K64" s="39">
        <v>81.8</v>
      </c>
      <c r="L64" s="39">
        <v>6.59</v>
      </c>
      <c r="M64" s="39">
        <v>40.5</v>
      </c>
      <c r="N64" s="39">
        <v>25.7</v>
      </c>
      <c r="O64" s="39" t="s">
        <v>342</v>
      </c>
      <c r="P64" s="39" t="s">
        <v>345</v>
      </c>
      <c r="Q64" s="39" t="s">
        <v>345</v>
      </c>
      <c r="R64" s="39">
        <v>11.9</v>
      </c>
      <c r="S64" s="46" t="s">
        <v>109</v>
      </c>
      <c r="T64" s="46">
        <f>(0.27+0.37+0.37)/3</f>
        <v>0.33666666666666667</v>
      </c>
      <c r="U64" s="47">
        <v>51.450367</v>
      </c>
      <c r="V64" s="55">
        <v>3.668183</v>
      </c>
      <c r="W64" s="39">
        <v>1</v>
      </c>
      <c r="X64" s="39" t="s">
        <v>143</v>
      </c>
      <c r="Y64" s="39">
        <v>2</v>
      </c>
      <c r="Z64" s="40">
        <v>8841.65</v>
      </c>
      <c r="AA64" s="48">
        <v>3.5</v>
      </c>
      <c r="AB64" s="39">
        <v>0.01</v>
      </c>
      <c r="AC64" s="39">
        <v>15.5</v>
      </c>
      <c r="AD64" s="39">
        <v>14.5</v>
      </c>
      <c r="AE64" s="39">
        <v>0.99850000000000005</v>
      </c>
      <c r="AF64" s="39">
        <v>9.6000000000000002E-2</v>
      </c>
      <c r="AG64" s="39">
        <v>3.3500000000000002E-2</v>
      </c>
      <c r="AH64" s="39">
        <v>0.4405</v>
      </c>
      <c r="AI64" s="39">
        <v>0.1236</v>
      </c>
      <c r="AJ64" s="39">
        <v>8.6900000000000005E-2</v>
      </c>
      <c r="AK64" s="39">
        <v>8.0784789644012953</v>
      </c>
      <c r="AL64" s="40" t="s">
        <v>372</v>
      </c>
      <c r="AM64" s="39"/>
      <c r="AN64" s="40">
        <v>18.3</v>
      </c>
      <c r="AO64" s="40">
        <v>3</v>
      </c>
      <c r="AP64" s="40">
        <v>0</v>
      </c>
      <c r="AQ64" s="40">
        <v>0</v>
      </c>
      <c r="AR64" s="21">
        <v>375</v>
      </c>
      <c r="AS64" s="39">
        <v>1.3331911711349493</v>
      </c>
      <c r="AT64" s="39">
        <v>78.157192311780449</v>
      </c>
      <c r="AU64" s="39" t="s">
        <v>358</v>
      </c>
      <c r="AV64" s="39" t="s">
        <v>359</v>
      </c>
      <c r="AW64" s="53">
        <v>954.34362538094058</v>
      </c>
      <c r="AX64" s="53">
        <v>956.30830603020604</v>
      </c>
      <c r="AY64" s="53">
        <v>40.27094342545233</v>
      </c>
      <c r="AZ64" s="53">
        <v>40.353848095396643</v>
      </c>
      <c r="BA64" s="53">
        <v>700.31166665943692</v>
      </c>
      <c r="BB64" s="53">
        <v>701.75337878843209</v>
      </c>
      <c r="BC64" s="50">
        <v>71.25094985088549</v>
      </c>
      <c r="BD64" s="57">
        <v>0.33253241456918298</v>
      </c>
      <c r="BE64" s="57">
        <v>2.9705937071104426E-2</v>
      </c>
      <c r="BF64" s="48">
        <v>40.270943000000003</v>
      </c>
      <c r="BG64" s="50">
        <v>71.25094985088549</v>
      </c>
      <c r="BH64" s="57">
        <v>0.33253241456918298</v>
      </c>
      <c r="BI64" s="57">
        <v>2.9705937071104426E-2</v>
      </c>
      <c r="BJ64" s="39" t="s">
        <v>116</v>
      </c>
      <c r="BK64" s="39" t="s">
        <v>317</v>
      </c>
      <c r="BL64" s="39" t="s">
        <v>366</v>
      </c>
      <c r="BM64" s="39"/>
      <c r="BN64" s="93">
        <v>8.8086480137213012</v>
      </c>
      <c r="BO64" s="93">
        <v>3.6189912783623845</v>
      </c>
      <c r="BP64" s="39">
        <v>1.9530892783479215</v>
      </c>
      <c r="BQ64" s="39">
        <v>25.588541683853414</v>
      </c>
      <c r="BR64" s="39">
        <v>47.690179187005377</v>
      </c>
      <c r="BS64" s="39">
        <v>5.3270025670830954</v>
      </c>
      <c r="BT64" s="39">
        <v>7.7865333846395437</v>
      </c>
      <c r="BU64" s="39">
        <v>45.821665825583374</v>
      </c>
      <c r="BV64" s="52"/>
      <c r="BW64" s="52"/>
      <c r="BX64" s="52"/>
      <c r="BY64" s="52"/>
      <c r="BZ64" s="52"/>
      <c r="CA64" s="52"/>
      <c r="CB64" s="52">
        <v>1.953089278</v>
      </c>
      <c r="CC64" s="52">
        <v>25.588541679999999</v>
      </c>
      <c r="CD64" s="52">
        <v>47.690179190000002</v>
      </c>
      <c r="CE64" s="52">
        <v>5.3270025670000001</v>
      </c>
      <c r="CF64" s="52">
        <v>7.7865333850000003</v>
      </c>
      <c r="CG64" s="52">
        <v>45.821665830000001</v>
      </c>
      <c r="CH64" s="39" t="s">
        <v>42</v>
      </c>
      <c r="CI64" s="39" t="s">
        <v>116</v>
      </c>
      <c r="CJ64" s="39" t="s">
        <v>116</v>
      </c>
      <c r="CK64" s="48">
        <v>0.20601317147491024</v>
      </c>
      <c r="CL64" s="48">
        <v>5.9044085123114064E-2</v>
      </c>
      <c r="CM64" s="48">
        <v>0.2993925394407041</v>
      </c>
      <c r="CN64" s="48">
        <v>0.28388361920676208</v>
      </c>
      <c r="CO64" s="48">
        <v>3.5728608640094334E-2</v>
      </c>
      <c r="CP64" s="48">
        <v>6.2662800412837435E-4</v>
      </c>
      <c r="CQ64" s="48">
        <v>0.11531134811028684</v>
      </c>
      <c r="CR64" s="39" t="s">
        <v>415</v>
      </c>
      <c r="CS64" s="48">
        <v>0.35843662456381814</v>
      </c>
      <c r="CT64" s="48">
        <v>0.43555020396127164</v>
      </c>
      <c r="CU64" s="39" t="s">
        <v>42</v>
      </c>
      <c r="CV64" s="40"/>
      <c r="CW64" s="40"/>
      <c r="CX64" s="40"/>
      <c r="CY64" s="40"/>
      <c r="CZ64" s="40"/>
      <c r="DA64" s="40"/>
      <c r="DB64" s="40"/>
      <c r="DC64" s="40"/>
      <c r="DD64" s="40"/>
      <c r="DE64" s="40"/>
      <c r="DF64" s="40"/>
      <c r="DG64" s="40"/>
      <c r="DH64" s="75"/>
    </row>
    <row r="65" spans="1:112" ht="15" thickBot="1" x14ac:dyDescent="0.35">
      <c r="A65" s="76">
        <v>2</v>
      </c>
      <c r="B65" s="79" t="s">
        <v>445</v>
      </c>
      <c r="C65" s="79">
        <v>32</v>
      </c>
      <c r="D65" s="79" t="s">
        <v>98</v>
      </c>
      <c r="E65" s="77">
        <v>44428</v>
      </c>
      <c r="F65" s="78">
        <v>0.4291666666666667</v>
      </c>
      <c r="G65" s="79" t="s">
        <v>99</v>
      </c>
      <c r="H65" s="79" t="s">
        <v>145</v>
      </c>
      <c r="I65" s="79">
        <v>18.7</v>
      </c>
      <c r="J65" s="79">
        <v>8.2669999999999995</v>
      </c>
      <c r="K65" s="79">
        <v>97</v>
      </c>
      <c r="L65" s="79">
        <v>7.7</v>
      </c>
      <c r="M65" s="79">
        <v>43.1</v>
      </c>
      <c r="N65" s="79">
        <v>27.5</v>
      </c>
      <c r="O65" s="79" t="s">
        <v>342</v>
      </c>
      <c r="P65" s="79" t="s">
        <v>345</v>
      </c>
      <c r="Q65" s="79" t="s">
        <v>345</v>
      </c>
      <c r="R65" s="79">
        <v>17.3</v>
      </c>
      <c r="S65" s="80" t="s">
        <v>109</v>
      </c>
      <c r="T65" s="80">
        <f>(0.35+0.37+0.43)/3</f>
        <v>0.3833333333333333</v>
      </c>
      <c r="U65" s="81">
        <v>51.401335078610003</v>
      </c>
      <c r="V65" s="79">
        <v>3.5484605608992998</v>
      </c>
      <c r="W65" s="79">
        <v>1</v>
      </c>
      <c r="X65" s="79" t="s">
        <v>143</v>
      </c>
      <c r="Y65" s="79">
        <v>2</v>
      </c>
      <c r="Z65" s="82">
        <v>4645.95</v>
      </c>
      <c r="AA65" s="83">
        <v>3.8199999141693102</v>
      </c>
      <c r="AB65" s="79">
        <v>0.2</v>
      </c>
      <c r="AC65" s="79">
        <v>29.2</v>
      </c>
      <c r="AD65" s="79">
        <v>29.4</v>
      </c>
      <c r="AE65" s="79">
        <v>3.1088</v>
      </c>
      <c r="AF65" s="79">
        <v>4.6600000000000003E-2</v>
      </c>
      <c r="AG65" s="79">
        <v>1.5100000000000001E-2</v>
      </c>
      <c r="AH65" s="79">
        <v>0.33660000000000001</v>
      </c>
      <c r="AI65" s="79">
        <v>7.1300000000000002E-2</v>
      </c>
      <c r="AJ65" s="79">
        <v>4.3900000000000002E-2</v>
      </c>
      <c r="AK65" s="79">
        <v>43.601683029453014</v>
      </c>
      <c r="AL65" s="82" t="s">
        <v>373</v>
      </c>
      <c r="AM65" s="79"/>
      <c r="AN65" s="82">
        <v>17.7</v>
      </c>
      <c r="AO65" s="82">
        <v>6</v>
      </c>
      <c r="AP65" s="82">
        <v>0</v>
      </c>
      <c r="AQ65" s="82">
        <v>0.3</v>
      </c>
      <c r="AR65" s="84">
        <v>180.55555559999999</v>
      </c>
      <c r="AS65" s="79">
        <v>1.2908341438181514</v>
      </c>
      <c r="AT65" s="79">
        <v>84.868401237677077</v>
      </c>
      <c r="AU65" s="79" t="s">
        <v>358</v>
      </c>
      <c r="AV65" s="79" t="s">
        <v>360</v>
      </c>
      <c r="AW65" s="83">
        <v>151.39470593682501</v>
      </c>
      <c r="AX65" s="83">
        <v>151.91523097013007</v>
      </c>
      <c r="AY65" s="83">
        <v>14.554760031177052</v>
      </c>
      <c r="AZ65" s="83">
        <v>14.604802183596428</v>
      </c>
      <c r="BA65" s="83">
        <v>41.403210076287223</v>
      </c>
      <c r="BB65" s="83">
        <v>41.545562526265954</v>
      </c>
      <c r="BC65" s="85">
        <v>68.981420271855626</v>
      </c>
      <c r="BD65" s="86">
        <v>0.49691034531216277</v>
      </c>
      <c r="BE65" s="86">
        <v>2.2296010385770518E-2</v>
      </c>
      <c r="BF65" s="83">
        <v>14.55476</v>
      </c>
      <c r="BG65" s="85">
        <v>68.981420271855626</v>
      </c>
      <c r="BH65" s="86">
        <v>0.49691034531216277</v>
      </c>
      <c r="BI65" s="86">
        <v>2.2296010385770518E-2</v>
      </c>
      <c r="BJ65" s="79" t="s">
        <v>367</v>
      </c>
      <c r="BK65" s="79" t="s">
        <v>109</v>
      </c>
      <c r="BL65" s="79"/>
      <c r="BM65" s="79"/>
      <c r="BN65" s="95">
        <v>7.3933079191463937</v>
      </c>
      <c r="BO65" s="96">
        <v>4.7999002219613605</v>
      </c>
      <c r="BP65" s="79">
        <v>1.3973640236211868</v>
      </c>
      <c r="BQ65" s="79">
        <v>22.771795659860274</v>
      </c>
      <c r="BR65" s="79">
        <v>46.112322235886218</v>
      </c>
      <c r="BS65" s="79"/>
      <c r="BT65" s="79"/>
      <c r="BU65" s="79"/>
      <c r="BV65" s="87"/>
      <c r="BW65" s="87"/>
      <c r="BX65" s="87"/>
      <c r="BY65" s="87"/>
      <c r="BZ65" s="87"/>
      <c r="CA65" s="87"/>
      <c r="CB65" s="87">
        <v>1.397364024</v>
      </c>
      <c r="CC65" s="87">
        <v>22.771795659999999</v>
      </c>
      <c r="CD65" s="87">
        <v>46.112322239999997</v>
      </c>
      <c r="CE65" s="87"/>
      <c r="CF65" s="87"/>
      <c r="CG65" s="87"/>
      <c r="CH65" s="79" t="s">
        <v>100</v>
      </c>
      <c r="CI65" s="79" t="s">
        <v>39</v>
      </c>
      <c r="CJ65" s="79" t="s">
        <v>100</v>
      </c>
      <c r="CK65" s="83">
        <v>0.31144313759569214</v>
      </c>
      <c r="CL65" s="83">
        <v>0.11045442367708069</v>
      </c>
      <c r="CM65" s="83">
        <v>0.36923274778056803</v>
      </c>
      <c r="CN65" s="83">
        <v>1.5566425299827217E-2</v>
      </c>
      <c r="CO65" s="83">
        <v>7.1098884710961693E-2</v>
      </c>
      <c r="CP65" s="83">
        <v>0</v>
      </c>
      <c r="CQ65" s="83">
        <v>0.1222043809358703</v>
      </c>
      <c r="CR65" s="79" t="s">
        <v>415</v>
      </c>
      <c r="CS65" s="83">
        <v>0.47968717145764872</v>
      </c>
      <c r="CT65" s="83">
        <v>0.20886969094665919</v>
      </c>
      <c r="CU65" s="79" t="s">
        <v>418</v>
      </c>
      <c r="CV65" s="79"/>
      <c r="CW65" s="79"/>
      <c r="CX65" s="79"/>
      <c r="CY65" s="79"/>
      <c r="CZ65" s="79"/>
      <c r="DA65" s="79"/>
      <c r="DB65" s="79"/>
      <c r="DC65" s="79"/>
      <c r="DD65" s="79"/>
      <c r="DE65" s="79"/>
      <c r="DF65" s="79"/>
      <c r="DG65" s="79"/>
      <c r="DH65" s="88"/>
    </row>
    <row r="66" spans="1:112" x14ac:dyDescent="0.3">
      <c r="A66" s="39"/>
      <c r="B66" s="39"/>
      <c r="C66" s="39" t="s">
        <v>101</v>
      </c>
      <c r="D66" s="39" t="s">
        <v>101</v>
      </c>
      <c r="E66" s="39"/>
      <c r="F66" s="39"/>
      <c r="G66" s="39"/>
      <c r="H66" s="39"/>
      <c r="I66" s="39"/>
      <c r="J66" s="39"/>
      <c r="K66" s="39"/>
      <c r="L66" s="39"/>
      <c r="M66" s="39"/>
      <c r="N66" s="39"/>
      <c r="O66" s="39"/>
      <c r="P66" s="39"/>
      <c r="Q66" s="39"/>
      <c r="R66" s="39"/>
      <c r="S66" s="39" t="s">
        <v>101</v>
      </c>
      <c r="T66" s="39"/>
      <c r="U66" s="39"/>
      <c r="V66" s="39" t="s">
        <v>101</v>
      </c>
      <c r="W66" s="39"/>
      <c r="X66" s="39"/>
      <c r="Y66" s="39"/>
      <c r="Z66" s="39"/>
      <c r="AA66" s="39"/>
      <c r="AB66" s="39"/>
      <c r="AC66" s="39"/>
      <c r="AD66" s="39"/>
      <c r="AE66" s="39"/>
      <c r="AF66" s="39"/>
      <c r="AG66" s="39"/>
      <c r="AH66" s="39"/>
      <c r="AI66" s="39"/>
      <c r="AJ66" s="39"/>
      <c r="AK66" s="39"/>
      <c r="AL66" s="39"/>
      <c r="AM66" s="39"/>
      <c r="AN66" s="39"/>
      <c r="AO66" s="39"/>
      <c r="AP66" s="39"/>
      <c r="AQ66" s="39"/>
      <c r="AR66" s="42"/>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c r="CV66" s="39"/>
      <c r="CW66" s="39"/>
      <c r="CX66" s="39"/>
      <c r="CY66" s="39"/>
      <c r="CZ66" s="39"/>
      <c r="DA66" s="39"/>
      <c r="DB66" s="39"/>
      <c r="DC66" s="39"/>
      <c r="DD66" s="39"/>
      <c r="DE66" s="39"/>
      <c r="DF66" s="39"/>
      <c r="DG66" s="39"/>
      <c r="DH66" s="39"/>
    </row>
    <row r="67" spans="1:112" x14ac:dyDescent="0.3">
      <c r="A67" s="39"/>
      <c r="B67" s="39"/>
      <c r="C67" s="39"/>
      <c r="D67" s="39"/>
      <c r="E67" s="39"/>
      <c r="F67" s="39"/>
      <c r="G67" s="39"/>
      <c r="H67" s="39"/>
      <c r="I67" s="39"/>
      <c r="J67" s="39"/>
      <c r="K67" s="39"/>
      <c r="L67" s="39"/>
      <c r="M67" s="39"/>
      <c r="N67" s="39"/>
      <c r="O67" s="39"/>
      <c r="P67" s="39"/>
      <c r="Q67" s="39"/>
      <c r="R67" s="39"/>
      <c r="S67" s="39"/>
      <c r="T67" s="39"/>
      <c r="U67" s="39" t="s">
        <v>101</v>
      </c>
      <c r="V67" s="39"/>
      <c r="W67" s="39"/>
      <c r="X67" s="39"/>
      <c r="Y67" s="39"/>
      <c r="Z67" s="39"/>
      <c r="AA67" s="39"/>
      <c r="AB67" s="39"/>
      <c r="AC67" s="39"/>
      <c r="AD67" s="39"/>
      <c r="AE67" s="39"/>
      <c r="AF67" s="39"/>
      <c r="AG67" s="39"/>
      <c r="AH67" s="39"/>
      <c r="AI67" s="39"/>
      <c r="AJ67" s="39"/>
      <c r="AK67" s="39"/>
      <c r="AL67" s="39"/>
      <c r="AM67" s="39"/>
      <c r="AN67" s="39"/>
      <c r="AO67" s="39"/>
      <c r="AP67" s="39"/>
      <c r="AQ67" s="39"/>
      <c r="AR67" s="42"/>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c r="CV67" s="39"/>
      <c r="CW67" s="39"/>
      <c r="CX67" s="39"/>
      <c r="CY67" s="39"/>
      <c r="CZ67" s="39"/>
      <c r="DA67" s="39"/>
      <c r="DB67" s="39"/>
      <c r="DC67" s="39"/>
      <c r="DD67" s="39"/>
      <c r="DE67" s="39"/>
      <c r="DF67" s="39"/>
      <c r="DG67" s="39"/>
      <c r="DH67" s="39"/>
    </row>
    <row r="68" spans="1:112" x14ac:dyDescent="0.3">
      <c r="A68" s="39"/>
      <c r="B68" s="39"/>
      <c r="C68" s="39"/>
      <c r="D68" s="39"/>
      <c r="E68" s="39"/>
      <c r="F68" s="39"/>
      <c r="G68" s="39"/>
      <c r="H68" s="39"/>
      <c r="I68" s="39"/>
      <c r="J68" s="39"/>
      <c r="K68" s="39"/>
      <c r="L68" s="39"/>
      <c r="M68" s="39"/>
      <c r="N68" s="39"/>
      <c r="O68" s="39"/>
      <c r="P68" s="39"/>
      <c r="Q68" s="39"/>
      <c r="R68" s="39"/>
      <c r="S68" s="39"/>
      <c r="T68" s="39"/>
      <c r="U68" s="39"/>
      <c r="V68" s="39" t="s">
        <v>101</v>
      </c>
      <c r="W68" s="39"/>
      <c r="X68" s="39"/>
      <c r="Y68" s="39"/>
      <c r="Z68" s="39"/>
      <c r="AA68" s="39" t="s">
        <v>101</v>
      </c>
      <c r="AB68" s="39"/>
      <c r="AC68" s="39"/>
      <c r="AD68" s="39"/>
      <c r="AE68" s="39"/>
      <c r="AF68" s="39"/>
      <c r="AG68" s="39"/>
      <c r="AH68" s="39"/>
      <c r="AI68" s="39"/>
      <c r="AJ68" s="39"/>
      <c r="AK68" s="39"/>
      <c r="AL68" s="39"/>
      <c r="AM68" s="39"/>
      <c r="AN68" s="39"/>
      <c r="AO68" s="39"/>
      <c r="AP68" s="39"/>
      <c r="AQ68" s="39"/>
      <c r="AR68" s="42"/>
      <c r="AS68" s="39"/>
      <c r="AT68" s="39"/>
      <c r="AU68" s="39"/>
      <c r="AV68" s="39"/>
      <c r="AW68" s="39"/>
      <c r="AX68" s="39"/>
      <c r="AY68" s="39"/>
      <c r="AZ68" s="39"/>
      <c r="BA68" s="39"/>
      <c r="BB68" s="39"/>
      <c r="BC68" s="39"/>
      <c r="BD68" s="39"/>
      <c r="BE68" s="39"/>
      <c r="BF68" s="39"/>
      <c r="BG68" s="39"/>
      <c r="BH68" s="39"/>
      <c r="BI68" s="39"/>
      <c r="BJ68" s="39"/>
      <c r="BK68" s="39"/>
      <c r="BL68" s="39"/>
      <c r="BM68" s="39"/>
      <c r="BN68" s="39"/>
      <c r="BO68" s="39"/>
      <c r="BP68" s="39"/>
      <c r="BQ68" s="39"/>
      <c r="BR68" s="39"/>
      <c r="BS68" s="39"/>
      <c r="BT68" s="39"/>
      <c r="BU68" s="39"/>
      <c r="BV68" s="39"/>
      <c r="BW68" s="39"/>
      <c r="BX68" s="39"/>
      <c r="BY68" s="39"/>
      <c r="BZ68" s="39"/>
      <c r="CA68" s="39"/>
      <c r="CB68" s="39"/>
      <c r="CC68" s="39"/>
      <c r="CD68" s="39"/>
      <c r="CE68" s="39"/>
      <c r="CF68" s="39"/>
      <c r="CG68" s="39"/>
      <c r="CH68" s="39"/>
      <c r="CI68" s="39"/>
      <c r="CJ68" s="39"/>
      <c r="CK68" s="39"/>
      <c r="CL68" s="39"/>
      <c r="CM68" s="39"/>
      <c r="CN68" s="39"/>
      <c r="CO68" s="39"/>
      <c r="CP68" s="39"/>
      <c r="CQ68" s="39"/>
      <c r="CR68" s="39"/>
      <c r="CS68" s="39"/>
      <c r="CT68" s="39"/>
      <c r="CU68" s="39"/>
      <c r="CV68" s="39"/>
      <c r="CW68" s="39"/>
      <c r="CX68" s="39"/>
      <c r="CY68" s="39"/>
      <c r="CZ68" s="39"/>
      <c r="DA68" s="39"/>
      <c r="DB68" s="39"/>
      <c r="DC68" s="39"/>
      <c r="DD68" s="39"/>
      <c r="DE68" s="39"/>
      <c r="DF68" s="39"/>
      <c r="DG68" s="39"/>
      <c r="DH68" s="39"/>
    </row>
    <row r="69" spans="1:112" x14ac:dyDescent="0.3">
      <c r="AR69" s="16"/>
    </row>
    <row r="70" spans="1:112" x14ac:dyDescent="0.3">
      <c r="V70" t="s">
        <v>101</v>
      </c>
      <c r="Y70" t="s">
        <v>101</v>
      </c>
      <c r="AR70" s="16"/>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38"/>
  <sheetViews>
    <sheetView workbookViewId="0">
      <selection activeCell="K15" sqref="K15"/>
    </sheetView>
  </sheetViews>
  <sheetFormatPr defaultRowHeight="14.4" x14ac:dyDescent="0.3"/>
  <cols>
    <col min="4" max="4" width="11.6640625" customWidth="1"/>
  </cols>
  <sheetData>
    <row r="1" spans="3:5" x14ac:dyDescent="0.3">
      <c r="C1" t="s">
        <v>178</v>
      </c>
    </row>
    <row r="3" spans="3:5" x14ac:dyDescent="0.3">
      <c r="C3" t="s">
        <v>107</v>
      </c>
    </row>
    <row r="5" spans="3:5" x14ac:dyDescent="0.3">
      <c r="C5" t="s">
        <v>106</v>
      </c>
    </row>
    <row r="7" spans="3:5" x14ac:dyDescent="0.3">
      <c r="C7" t="s">
        <v>350</v>
      </c>
      <c r="E7" t="s">
        <v>352</v>
      </c>
    </row>
    <row r="8" spans="3:5" x14ac:dyDescent="0.3">
      <c r="E8" t="s">
        <v>351</v>
      </c>
    </row>
    <row r="10" spans="3:5" x14ac:dyDescent="0.3">
      <c r="C10" t="s">
        <v>349</v>
      </c>
      <c r="E10" t="s">
        <v>352</v>
      </c>
    </row>
    <row r="11" spans="3:5" x14ac:dyDescent="0.3">
      <c r="E11" t="s">
        <v>353</v>
      </c>
    </row>
    <row r="13" spans="3:5" x14ac:dyDescent="0.3">
      <c r="C13" t="s">
        <v>110</v>
      </c>
    </row>
    <row r="15" spans="3:5" x14ac:dyDescent="0.3">
      <c r="C15" t="s">
        <v>119</v>
      </c>
    </row>
    <row r="17" spans="3:14" x14ac:dyDescent="0.3">
      <c r="C17" t="s">
        <v>117</v>
      </c>
    </row>
    <row r="19" spans="3:14" x14ac:dyDescent="0.3">
      <c r="C19" t="s">
        <v>354</v>
      </c>
    </row>
    <row r="21" spans="3:14" x14ac:dyDescent="0.3">
      <c r="C21" t="s">
        <v>142</v>
      </c>
    </row>
    <row r="23" spans="3:14" x14ac:dyDescent="0.3">
      <c r="C23" t="s">
        <v>146</v>
      </c>
    </row>
    <row r="25" spans="3:14" x14ac:dyDescent="0.3">
      <c r="C25" t="s">
        <v>150</v>
      </c>
    </row>
    <row r="27" spans="3:14" x14ac:dyDescent="0.3">
      <c r="C27" t="s">
        <v>330</v>
      </c>
    </row>
    <row r="29" spans="3:14" x14ac:dyDescent="0.3">
      <c r="C29" t="s">
        <v>169</v>
      </c>
      <c r="N29" t="s">
        <v>172</v>
      </c>
    </row>
    <row r="30" spans="3:14" x14ac:dyDescent="0.3">
      <c r="C30" s="5" t="s">
        <v>171</v>
      </c>
    </row>
    <row r="31" spans="3:14" x14ac:dyDescent="0.3">
      <c r="C31" t="s">
        <v>170</v>
      </c>
    </row>
    <row r="32" spans="3:14" x14ac:dyDescent="0.3">
      <c r="C32" t="s">
        <v>168</v>
      </c>
    </row>
    <row r="34" spans="3:3" x14ac:dyDescent="0.3">
      <c r="C34" t="s">
        <v>113</v>
      </c>
    </row>
    <row r="36" spans="3:3" x14ac:dyDescent="0.3">
      <c r="C36" t="s">
        <v>338</v>
      </c>
    </row>
    <row r="37" spans="3:3" x14ac:dyDescent="0.3">
      <c r="C37" s="12" t="s">
        <v>339</v>
      </c>
    </row>
    <row r="38" spans="3:3" x14ac:dyDescent="0.3">
      <c r="C38" s="12" t="s">
        <v>340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52"/>
  <sheetViews>
    <sheetView workbookViewId="0">
      <selection activeCell="K48" sqref="K48"/>
    </sheetView>
  </sheetViews>
  <sheetFormatPr defaultRowHeight="14.4" x14ac:dyDescent="0.3"/>
  <cols>
    <col min="2" max="2" width="15.33203125" customWidth="1"/>
    <col min="3" max="3" width="11" customWidth="1"/>
    <col min="4" max="4" width="14.88671875" customWidth="1"/>
    <col min="6" max="6" width="11.109375" customWidth="1"/>
    <col min="7" max="7" width="10.33203125" customWidth="1"/>
    <col min="8" max="8" width="10" customWidth="1"/>
    <col min="9" max="9" width="17.77734375" customWidth="1"/>
    <col min="11" max="11" width="15.33203125" customWidth="1"/>
    <col min="12" max="12" width="12.21875" customWidth="1"/>
    <col min="13" max="13" width="10.77734375" customWidth="1"/>
    <col min="14" max="14" width="14.21875" customWidth="1"/>
    <col min="15" max="15" width="10.33203125" customWidth="1"/>
  </cols>
  <sheetData>
    <row r="3" spans="4:13" x14ac:dyDescent="0.3">
      <c r="D3" s="4" t="s">
        <v>127</v>
      </c>
    </row>
    <row r="5" spans="4:13" x14ac:dyDescent="0.3">
      <c r="D5" t="s">
        <v>120</v>
      </c>
      <c r="M5" s="5" t="s">
        <v>133</v>
      </c>
    </row>
    <row r="6" spans="4:13" x14ac:dyDescent="0.3">
      <c r="D6" t="s">
        <v>331</v>
      </c>
    </row>
    <row r="8" spans="4:13" x14ac:dyDescent="0.3">
      <c r="D8" t="s">
        <v>121</v>
      </c>
      <c r="L8" s="5" t="s">
        <v>133</v>
      </c>
    </row>
    <row r="9" spans="4:13" x14ac:dyDescent="0.3">
      <c r="D9" t="s">
        <v>134</v>
      </c>
    </row>
    <row r="11" spans="4:13" x14ac:dyDescent="0.3">
      <c r="D11" t="s">
        <v>122</v>
      </c>
      <c r="L11" t="s">
        <v>136</v>
      </c>
    </row>
    <row r="13" spans="4:13" x14ac:dyDescent="0.3">
      <c r="D13" t="s">
        <v>123</v>
      </c>
      <c r="L13" t="s">
        <v>138</v>
      </c>
    </row>
    <row r="14" spans="4:13" x14ac:dyDescent="0.3">
      <c r="D14" t="s">
        <v>139</v>
      </c>
    </row>
    <row r="16" spans="4:13" x14ac:dyDescent="0.3">
      <c r="D16" s="4" t="s">
        <v>166</v>
      </c>
      <c r="L16" t="s">
        <v>101</v>
      </c>
    </row>
    <row r="17" spans="1:20" x14ac:dyDescent="0.3">
      <c r="D17" t="s">
        <v>167</v>
      </c>
    </row>
    <row r="19" spans="1:20" x14ac:dyDescent="0.3">
      <c r="D19" s="4" t="s">
        <v>237</v>
      </c>
    </row>
    <row r="20" spans="1:20" x14ac:dyDescent="0.3">
      <c r="D20" s="12" t="s">
        <v>241</v>
      </c>
    </row>
    <row r="21" spans="1:20" x14ac:dyDescent="0.3">
      <c r="D21" s="12" t="s">
        <v>258</v>
      </c>
    </row>
    <row r="23" spans="1:20" x14ac:dyDescent="0.3">
      <c r="C23" s="5" t="s">
        <v>213</v>
      </c>
      <c r="F23" t="s">
        <v>175</v>
      </c>
      <c r="G23" t="s">
        <v>174</v>
      </c>
      <c r="H23" t="s">
        <v>176</v>
      </c>
      <c r="I23" t="s">
        <v>238</v>
      </c>
      <c r="N23" s="5" t="s">
        <v>214</v>
      </c>
      <c r="Q23" t="s">
        <v>175</v>
      </c>
      <c r="R23" t="s">
        <v>174</v>
      </c>
      <c r="S23" t="s">
        <v>176</v>
      </c>
      <c r="T23" t="s">
        <v>238</v>
      </c>
    </row>
    <row r="24" spans="1:20" x14ac:dyDescent="0.3">
      <c r="A24" t="s">
        <v>102</v>
      </c>
      <c r="B24" t="s">
        <v>1</v>
      </c>
      <c r="C24" t="s">
        <v>2</v>
      </c>
      <c r="D24" t="s">
        <v>3</v>
      </c>
      <c r="E24" t="s">
        <v>4</v>
      </c>
      <c r="F24" t="s">
        <v>131</v>
      </c>
      <c r="G24" t="s">
        <v>131</v>
      </c>
      <c r="H24" t="s">
        <v>177</v>
      </c>
      <c r="L24" t="s">
        <v>102</v>
      </c>
      <c r="M24" t="s">
        <v>1</v>
      </c>
      <c r="N24" t="s">
        <v>2</v>
      </c>
      <c r="O24" t="s">
        <v>3</v>
      </c>
      <c r="P24" t="s">
        <v>4</v>
      </c>
      <c r="Q24" t="s">
        <v>131</v>
      </c>
      <c r="R24" t="s">
        <v>131</v>
      </c>
      <c r="S24" t="s">
        <v>177</v>
      </c>
    </row>
    <row r="25" spans="1:20" x14ac:dyDescent="0.3">
      <c r="A25">
        <v>1</v>
      </c>
      <c r="B25" s="4" t="s">
        <v>132</v>
      </c>
      <c r="C25" s="1">
        <v>44235</v>
      </c>
      <c r="D25" s="2">
        <v>0.49583333333333335</v>
      </c>
      <c r="E25" s="4" t="s">
        <v>33</v>
      </c>
      <c r="F25" s="4">
        <v>-0.28842678666114802</v>
      </c>
      <c r="G25">
        <v>3.17</v>
      </c>
      <c r="H25">
        <f>G25+ABS(F25)</f>
        <v>3.458426786661148</v>
      </c>
      <c r="I25" t="s">
        <v>239</v>
      </c>
      <c r="L25">
        <v>2</v>
      </c>
      <c r="M25" s="4" t="s">
        <v>132</v>
      </c>
      <c r="N25" s="1">
        <v>44424</v>
      </c>
      <c r="O25" s="2">
        <v>0.42291666666666666</v>
      </c>
      <c r="P25" s="4" t="s">
        <v>33</v>
      </c>
      <c r="Q25" s="4">
        <v>-0.807004153728485</v>
      </c>
      <c r="R25">
        <v>2.56</v>
      </c>
      <c r="S25">
        <f>R25+ABS(Q25)</f>
        <v>3.3670041537284852</v>
      </c>
      <c r="T25" t="s">
        <v>239</v>
      </c>
    </row>
    <row r="26" spans="1:20" x14ac:dyDescent="0.3">
      <c r="A26">
        <v>1</v>
      </c>
      <c r="B26" t="s">
        <v>37</v>
      </c>
      <c r="C26" s="1">
        <v>44235</v>
      </c>
      <c r="D26" s="2">
        <v>0.58333333333333337</v>
      </c>
      <c r="E26" t="s">
        <v>38</v>
      </c>
      <c r="F26">
        <v>-1.1439527273178101</v>
      </c>
      <c r="G26">
        <v>4.2699999999999996</v>
      </c>
      <c r="H26">
        <f t="shared" ref="H26:H44" si="0">G26+ABS(F26)</f>
        <v>5.4139527273178096</v>
      </c>
      <c r="I26" t="s">
        <v>240</v>
      </c>
      <c r="L26">
        <v>2</v>
      </c>
      <c r="M26" t="s">
        <v>37</v>
      </c>
      <c r="N26" s="1">
        <v>44424</v>
      </c>
      <c r="O26" s="2">
        <v>0.48125000000000001</v>
      </c>
      <c r="P26" t="s">
        <v>38</v>
      </c>
      <c r="Q26">
        <v>-1.1439527273178101</v>
      </c>
      <c r="R26">
        <v>3.99</v>
      </c>
      <c r="S26">
        <f t="shared" ref="S26:S44" si="1">R26+ABS(Q26)</f>
        <v>5.1339527273178103</v>
      </c>
      <c r="T26" t="s">
        <v>240</v>
      </c>
    </row>
    <row r="27" spans="1:20" x14ac:dyDescent="0.3">
      <c r="A27">
        <v>1</v>
      </c>
      <c r="B27" t="s">
        <v>40</v>
      </c>
      <c r="C27" s="1">
        <v>44235</v>
      </c>
      <c r="D27" s="2">
        <v>0.65416666666666667</v>
      </c>
      <c r="E27" t="s">
        <v>41</v>
      </c>
      <c r="F27">
        <v>0.85735344886779696</v>
      </c>
      <c r="G27">
        <v>4.8899999999999997</v>
      </c>
      <c r="H27">
        <f>G27-F27</f>
        <v>4.0326465511322027</v>
      </c>
      <c r="I27" t="s">
        <v>244</v>
      </c>
      <c r="L27">
        <v>2</v>
      </c>
      <c r="M27" t="s">
        <v>40</v>
      </c>
      <c r="N27" s="1">
        <v>44424</v>
      </c>
      <c r="O27" s="2">
        <v>0.52777777777777779</v>
      </c>
      <c r="P27" t="s">
        <v>41</v>
      </c>
      <c r="Q27">
        <v>0.85735344886779696</v>
      </c>
      <c r="R27">
        <v>5.05</v>
      </c>
      <c r="S27">
        <f>R27-Q27</f>
        <v>4.1926465511322029</v>
      </c>
      <c r="T27" t="s">
        <v>244</v>
      </c>
    </row>
    <row r="28" spans="1:20" x14ac:dyDescent="0.3">
      <c r="A28">
        <v>1</v>
      </c>
      <c r="B28" t="s">
        <v>43</v>
      </c>
      <c r="C28" s="1">
        <v>44236</v>
      </c>
      <c r="D28" s="2">
        <v>0.43541666666666662</v>
      </c>
      <c r="E28" t="s">
        <v>44</v>
      </c>
      <c r="F28">
        <v>0.54274791479110696</v>
      </c>
      <c r="G28">
        <v>2.5299999999999998</v>
      </c>
      <c r="H28">
        <f>G28-F28</f>
        <v>1.9872520852088928</v>
      </c>
      <c r="I28" t="s">
        <v>244</v>
      </c>
      <c r="L28">
        <v>2</v>
      </c>
      <c r="M28" t="s">
        <v>43</v>
      </c>
      <c r="N28" s="1">
        <v>44424</v>
      </c>
      <c r="O28" s="2">
        <v>0.58333333333333337</v>
      </c>
      <c r="P28" t="s">
        <v>44</v>
      </c>
      <c r="Q28">
        <v>0.54274791479110696</v>
      </c>
      <c r="R28">
        <v>4.34</v>
      </c>
      <c r="S28">
        <f>R28-Q28</f>
        <v>3.7972520852088927</v>
      </c>
      <c r="T28" t="s">
        <v>244</v>
      </c>
    </row>
    <row r="29" spans="1:20" x14ac:dyDescent="0.3">
      <c r="A29">
        <v>1</v>
      </c>
      <c r="B29" t="s">
        <v>45</v>
      </c>
      <c r="C29" s="1">
        <v>44236</v>
      </c>
      <c r="D29" s="2">
        <v>0.49652777777777773</v>
      </c>
      <c r="E29" t="s">
        <v>46</v>
      </c>
      <c r="F29">
        <v>-5.1023907661437899</v>
      </c>
      <c r="G29">
        <v>2.0499999999999998</v>
      </c>
      <c r="H29">
        <f t="shared" si="0"/>
        <v>7.1523907661437898</v>
      </c>
      <c r="I29" t="s">
        <v>245</v>
      </c>
      <c r="L29">
        <v>2</v>
      </c>
      <c r="M29" t="s">
        <v>45</v>
      </c>
      <c r="N29" s="1">
        <v>44424</v>
      </c>
      <c r="O29" s="2">
        <v>0.63888888888888895</v>
      </c>
      <c r="P29" t="s">
        <v>46</v>
      </c>
      <c r="Q29">
        <v>-5.1023907661437899</v>
      </c>
      <c r="R29">
        <v>3.58</v>
      </c>
      <c r="S29">
        <f t="shared" si="1"/>
        <v>8.68239076614379</v>
      </c>
      <c r="T29" t="s">
        <v>245</v>
      </c>
    </row>
    <row r="30" spans="1:20" x14ac:dyDescent="0.3">
      <c r="A30">
        <v>1</v>
      </c>
      <c r="B30" t="s">
        <v>48</v>
      </c>
      <c r="C30" s="1">
        <v>44236</v>
      </c>
      <c r="D30" s="2">
        <v>0.5805555555555556</v>
      </c>
      <c r="E30" t="s">
        <v>49</v>
      </c>
      <c r="F30">
        <v>0.34713625907897899</v>
      </c>
      <c r="G30">
        <v>3.93</v>
      </c>
      <c r="H30">
        <f>G30-F30</f>
        <v>3.5828637409210211</v>
      </c>
      <c r="I30" t="s">
        <v>246</v>
      </c>
      <c r="L30">
        <v>2</v>
      </c>
      <c r="M30" t="s">
        <v>48</v>
      </c>
      <c r="N30" s="1">
        <v>44425</v>
      </c>
      <c r="O30" s="2">
        <v>0.67499999999999993</v>
      </c>
      <c r="P30" t="s">
        <v>49</v>
      </c>
      <c r="Q30">
        <v>0.34713625907897899</v>
      </c>
      <c r="R30">
        <v>2.77</v>
      </c>
      <c r="S30">
        <f>R30-Q30</f>
        <v>2.422863740921021</v>
      </c>
      <c r="T30" t="s">
        <v>246</v>
      </c>
    </row>
    <row r="31" spans="1:20" x14ac:dyDescent="0.3">
      <c r="A31">
        <v>1</v>
      </c>
      <c r="B31" t="s">
        <v>51</v>
      </c>
      <c r="C31" s="1">
        <v>44236</v>
      </c>
      <c r="D31" s="2">
        <v>0.6430555555555556</v>
      </c>
      <c r="E31" t="s">
        <v>52</v>
      </c>
      <c r="F31">
        <v>-3.1107215881347599</v>
      </c>
      <c r="G31">
        <v>5.14</v>
      </c>
      <c r="H31">
        <f t="shared" si="0"/>
        <v>8.2507215881347591</v>
      </c>
      <c r="I31" t="s">
        <v>247</v>
      </c>
      <c r="L31">
        <v>2</v>
      </c>
      <c r="M31" t="s">
        <v>51</v>
      </c>
      <c r="N31" s="1">
        <v>44425</v>
      </c>
      <c r="O31" s="2">
        <v>0.43194444444444446</v>
      </c>
      <c r="P31" t="s">
        <v>52</v>
      </c>
      <c r="Q31">
        <v>-3.1107215881347599</v>
      </c>
      <c r="R31">
        <v>3.19</v>
      </c>
      <c r="S31">
        <f t="shared" si="1"/>
        <v>6.3007215881347598</v>
      </c>
      <c r="T31" t="s">
        <v>247</v>
      </c>
    </row>
    <row r="32" spans="1:20" x14ac:dyDescent="0.3">
      <c r="A32">
        <v>1</v>
      </c>
      <c r="B32" t="s">
        <v>53</v>
      </c>
      <c r="C32" s="1">
        <v>44237</v>
      </c>
      <c r="D32" s="2">
        <v>0.42569444444444443</v>
      </c>
      <c r="E32" t="s">
        <v>54</v>
      </c>
      <c r="F32">
        <v>-2.1418595314025799</v>
      </c>
      <c r="G32">
        <v>0.42</v>
      </c>
      <c r="H32">
        <f t="shared" si="0"/>
        <v>2.5618595314025798</v>
      </c>
      <c r="I32" t="s">
        <v>248</v>
      </c>
      <c r="L32">
        <v>2</v>
      </c>
      <c r="M32" t="s">
        <v>53</v>
      </c>
      <c r="N32" s="1">
        <v>44425</v>
      </c>
      <c r="O32" s="2">
        <v>0.61041666666666672</v>
      </c>
      <c r="P32" t="s">
        <v>54</v>
      </c>
      <c r="Q32">
        <v>-2.1418595314025799</v>
      </c>
      <c r="R32">
        <v>3.23</v>
      </c>
      <c r="S32">
        <f t="shared" si="1"/>
        <v>5.3718595314025794</v>
      </c>
      <c r="T32" t="s">
        <v>248</v>
      </c>
    </row>
    <row r="33" spans="1:20" x14ac:dyDescent="0.3">
      <c r="A33">
        <v>1</v>
      </c>
      <c r="B33" s="4" t="s">
        <v>55</v>
      </c>
      <c r="C33" s="1">
        <v>44237</v>
      </c>
      <c r="D33" s="2">
        <v>0.4826388888888889</v>
      </c>
      <c r="E33" s="4" t="s">
        <v>56</v>
      </c>
      <c r="F33" s="4">
        <v>-5.4895815849304199</v>
      </c>
      <c r="G33">
        <v>1.0900000000000001</v>
      </c>
      <c r="H33">
        <f t="shared" si="0"/>
        <v>6.5795815849304198</v>
      </c>
      <c r="I33" t="s">
        <v>249</v>
      </c>
      <c r="L33" s="4">
        <v>2</v>
      </c>
      <c r="M33" s="4" t="s">
        <v>55</v>
      </c>
      <c r="N33" s="1">
        <v>44425</v>
      </c>
      <c r="O33" s="2">
        <v>0.49722222222222223</v>
      </c>
      <c r="P33" s="4" t="s">
        <v>56</v>
      </c>
      <c r="Q33" s="4">
        <v>-1.8404890298843299</v>
      </c>
      <c r="R33">
        <v>5.28</v>
      </c>
      <c r="S33">
        <f t="shared" si="1"/>
        <v>7.1204890298843306</v>
      </c>
      <c r="T33" t="s">
        <v>249</v>
      </c>
    </row>
    <row r="34" spans="1:20" x14ac:dyDescent="0.3">
      <c r="A34">
        <v>1</v>
      </c>
      <c r="B34" s="4" t="s">
        <v>57</v>
      </c>
      <c r="C34" s="1">
        <v>44237</v>
      </c>
      <c r="D34" s="2">
        <v>0.55486111111111114</v>
      </c>
      <c r="E34" s="4" t="s">
        <v>58</v>
      </c>
      <c r="F34" s="4">
        <v>0.91000002622604304</v>
      </c>
      <c r="G34">
        <v>2.91</v>
      </c>
      <c r="H34">
        <f>G34-F34</f>
        <v>1.9999999737739571</v>
      </c>
      <c r="I34" t="s">
        <v>250</v>
      </c>
      <c r="L34" s="4">
        <v>2</v>
      </c>
      <c r="M34" s="4" t="s">
        <v>57</v>
      </c>
      <c r="N34" s="1">
        <v>44425</v>
      </c>
      <c r="O34" s="2">
        <v>0.54861111111111105</v>
      </c>
      <c r="P34" s="4" t="s">
        <v>58</v>
      </c>
      <c r="Q34" s="4">
        <v>-2.8998768329620299</v>
      </c>
      <c r="R34">
        <v>4.47</v>
      </c>
      <c r="S34">
        <f t="shared" si="1"/>
        <v>7.3698768329620297</v>
      </c>
      <c r="T34" t="s">
        <v>250</v>
      </c>
    </row>
    <row r="35" spans="1:20" x14ac:dyDescent="0.3">
      <c r="A35">
        <v>1</v>
      </c>
      <c r="B35" t="s">
        <v>59</v>
      </c>
      <c r="C35" s="1">
        <v>44237</v>
      </c>
      <c r="D35" s="2">
        <v>0.60763888888888895</v>
      </c>
      <c r="E35" t="s">
        <v>60</v>
      </c>
      <c r="F35">
        <v>-5.5840692520141602</v>
      </c>
      <c r="G35">
        <v>4.74</v>
      </c>
      <c r="H35">
        <f t="shared" si="0"/>
        <v>10.32406925201416</v>
      </c>
      <c r="I35" t="s">
        <v>251</v>
      </c>
      <c r="L35">
        <v>2</v>
      </c>
      <c r="M35" t="s">
        <v>59</v>
      </c>
      <c r="N35" s="1">
        <v>44426</v>
      </c>
      <c r="O35" s="2">
        <v>0.67499999999999993</v>
      </c>
      <c r="P35" t="s">
        <v>60</v>
      </c>
      <c r="Q35">
        <v>-5.5840692520141602</v>
      </c>
      <c r="R35">
        <v>2.5299999999999998</v>
      </c>
      <c r="S35">
        <f t="shared" si="1"/>
        <v>8.1140692520141595</v>
      </c>
      <c r="T35" t="s">
        <v>251</v>
      </c>
    </row>
    <row r="36" spans="1:20" x14ac:dyDescent="0.3">
      <c r="A36">
        <v>1</v>
      </c>
      <c r="B36" t="s">
        <v>61</v>
      </c>
      <c r="C36" s="1">
        <v>44237</v>
      </c>
      <c r="D36" s="2">
        <v>0.66180555555555554</v>
      </c>
      <c r="E36" t="s">
        <v>62</v>
      </c>
      <c r="F36">
        <v>-3.43</v>
      </c>
      <c r="G36">
        <v>5.49</v>
      </c>
      <c r="H36">
        <f t="shared" si="0"/>
        <v>8.92</v>
      </c>
      <c r="I36" t="s">
        <v>252</v>
      </c>
      <c r="L36">
        <v>2</v>
      </c>
      <c r="M36" t="s">
        <v>61</v>
      </c>
      <c r="N36" s="1">
        <v>44426</v>
      </c>
      <c r="O36" s="2">
        <v>0.625</v>
      </c>
      <c r="P36" t="s">
        <v>62</v>
      </c>
      <c r="Q36">
        <v>-3.43</v>
      </c>
      <c r="R36">
        <v>3.53</v>
      </c>
      <c r="S36">
        <f t="shared" si="1"/>
        <v>6.96</v>
      </c>
      <c r="T36" t="s">
        <v>252</v>
      </c>
    </row>
    <row r="37" spans="1:20" x14ac:dyDescent="0.3">
      <c r="A37">
        <v>1</v>
      </c>
      <c r="B37" t="s">
        <v>63</v>
      </c>
      <c r="C37" s="1">
        <v>44238</v>
      </c>
      <c r="D37" s="2">
        <v>0.43541666666666662</v>
      </c>
      <c r="E37" t="s">
        <v>64</v>
      </c>
      <c r="F37">
        <v>-3.05</v>
      </c>
      <c r="G37">
        <v>-0.27</v>
      </c>
      <c r="H37">
        <f>ABS(F37)-ABS(G37)</f>
        <v>2.78</v>
      </c>
      <c r="I37" t="s">
        <v>252</v>
      </c>
      <c r="L37">
        <v>2</v>
      </c>
      <c r="M37" t="s">
        <v>63</v>
      </c>
      <c r="N37" s="1">
        <v>44426</v>
      </c>
      <c r="O37" s="2">
        <v>0.47986111111111113</v>
      </c>
      <c r="P37" t="s">
        <v>64</v>
      </c>
      <c r="Q37">
        <v>-3.05</v>
      </c>
      <c r="R37">
        <v>4.3</v>
      </c>
      <c r="S37">
        <f t="shared" si="1"/>
        <v>7.35</v>
      </c>
      <c r="T37" t="s">
        <v>252</v>
      </c>
    </row>
    <row r="38" spans="1:20" x14ac:dyDescent="0.3">
      <c r="A38">
        <v>1</v>
      </c>
      <c r="B38" t="s">
        <v>65</v>
      </c>
      <c r="C38" s="1">
        <v>44238</v>
      </c>
      <c r="D38" s="2">
        <v>0.67361111111111116</v>
      </c>
      <c r="E38" t="s">
        <v>66</v>
      </c>
      <c r="F38">
        <v>0.06</v>
      </c>
      <c r="G38">
        <v>5.39</v>
      </c>
      <c r="H38">
        <f>G38-F38</f>
        <v>5.33</v>
      </c>
      <c r="I38" t="s">
        <v>253</v>
      </c>
      <c r="L38">
        <v>2</v>
      </c>
      <c r="M38" t="s">
        <v>65</v>
      </c>
      <c r="N38" s="1">
        <v>44426</v>
      </c>
      <c r="O38" s="2">
        <v>0.54999999999999993</v>
      </c>
      <c r="P38" t="s">
        <v>66</v>
      </c>
      <c r="Q38">
        <v>0.06</v>
      </c>
      <c r="R38">
        <v>4.8600000000000003</v>
      </c>
      <c r="S38">
        <f>R38-Q38</f>
        <v>4.8000000000000007</v>
      </c>
      <c r="T38" t="s">
        <v>253</v>
      </c>
    </row>
    <row r="39" spans="1:20" x14ac:dyDescent="0.3">
      <c r="A39">
        <v>1</v>
      </c>
      <c r="B39" t="s">
        <v>67</v>
      </c>
      <c r="C39" s="1">
        <v>44238</v>
      </c>
      <c r="D39" s="2">
        <v>0.5180555555555556</v>
      </c>
      <c r="E39" t="s">
        <v>68</v>
      </c>
      <c r="F39">
        <v>-5.18</v>
      </c>
      <c r="G39">
        <v>1.57</v>
      </c>
      <c r="H39">
        <f t="shared" si="0"/>
        <v>6.75</v>
      </c>
      <c r="I39" t="s">
        <v>253</v>
      </c>
      <c r="L39">
        <v>2</v>
      </c>
      <c r="M39" t="s">
        <v>67</v>
      </c>
      <c r="N39" s="1">
        <v>44426</v>
      </c>
      <c r="O39" s="2">
        <v>0.41388888888888892</v>
      </c>
      <c r="P39" t="s">
        <v>68</v>
      </c>
      <c r="Q39">
        <v>-5.18</v>
      </c>
      <c r="R39">
        <v>2.99</v>
      </c>
      <c r="S39">
        <f t="shared" si="1"/>
        <v>8.17</v>
      </c>
      <c r="T39" t="s">
        <v>253</v>
      </c>
    </row>
    <row r="40" spans="1:20" x14ac:dyDescent="0.3">
      <c r="A40">
        <v>1</v>
      </c>
      <c r="B40" t="s">
        <v>69</v>
      </c>
      <c r="C40" s="1">
        <v>44238</v>
      </c>
      <c r="D40" s="2">
        <v>0.5625</v>
      </c>
      <c r="E40" t="s">
        <v>70</v>
      </c>
      <c r="F40">
        <v>-1.72</v>
      </c>
      <c r="G40">
        <v>2.5299999999999998</v>
      </c>
      <c r="H40">
        <f t="shared" si="0"/>
        <v>4.25</v>
      </c>
      <c r="I40" t="s">
        <v>253</v>
      </c>
      <c r="L40">
        <v>2</v>
      </c>
      <c r="M40" t="s">
        <v>69</v>
      </c>
      <c r="N40" s="1">
        <v>44427</v>
      </c>
      <c r="O40" s="2">
        <v>0.70347222222222217</v>
      </c>
      <c r="P40" t="s">
        <v>70</v>
      </c>
      <c r="Q40">
        <v>-1.72</v>
      </c>
      <c r="R40">
        <v>2.74</v>
      </c>
      <c r="S40">
        <f t="shared" si="1"/>
        <v>4.46</v>
      </c>
      <c r="T40" t="s">
        <v>253</v>
      </c>
    </row>
    <row r="41" spans="1:20" x14ac:dyDescent="0.3">
      <c r="A41" s="4">
        <v>1</v>
      </c>
      <c r="B41" s="4" t="s">
        <v>104</v>
      </c>
      <c r="C41" s="1">
        <v>44238</v>
      </c>
      <c r="D41" s="2">
        <v>0.61805555555555558</v>
      </c>
      <c r="E41" s="4" t="s">
        <v>71</v>
      </c>
      <c r="F41" s="4">
        <v>-1.48</v>
      </c>
      <c r="G41">
        <v>4.54</v>
      </c>
      <c r="H41">
        <f t="shared" si="0"/>
        <v>6.02</v>
      </c>
      <c r="I41" t="s">
        <v>253</v>
      </c>
      <c r="L41" s="4">
        <v>2</v>
      </c>
      <c r="M41" s="4" t="s">
        <v>104</v>
      </c>
      <c r="N41" s="1">
        <v>44427</v>
      </c>
      <c r="O41" s="2">
        <v>0.6333333333333333</v>
      </c>
      <c r="P41" s="4" t="s">
        <v>71</v>
      </c>
      <c r="Q41" s="4">
        <v>-4.63</v>
      </c>
      <c r="R41">
        <v>4.4000000000000004</v>
      </c>
      <c r="S41">
        <f t="shared" si="1"/>
        <v>9.0300000000000011</v>
      </c>
      <c r="T41" t="s">
        <v>253</v>
      </c>
    </row>
    <row r="42" spans="1:20" x14ac:dyDescent="0.3">
      <c r="A42">
        <v>1</v>
      </c>
      <c r="B42" t="s">
        <v>72</v>
      </c>
      <c r="C42" s="1">
        <v>44239</v>
      </c>
      <c r="D42" s="2">
        <v>0.64930555555555558</v>
      </c>
      <c r="E42" t="s">
        <v>73</v>
      </c>
      <c r="F42" s="3">
        <f>-4.78000020980834-0.72</f>
        <v>-5.5000002098083396</v>
      </c>
      <c r="G42">
        <v>4.6399999999999997</v>
      </c>
      <c r="H42">
        <f>G42+ABS(F42)</f>
        <v>10.140000209808338</v>
      </c>
      <c r="I42" t="s">
        <v>254</v>
      </c>
      <c r="L42">
        <v>2</v>
      </c>
      <c r="M42" t="s">
        <v>72</v>
      </c>
      <c r="N42" s="1">
        <v>44427</v>
      </c>
      <c r="O42" s="2">
        <v>0.49027777777777781</v>
      </c>
      <c r="P42" t="s">
        <v>73</v>
      </c>
      <c r="Q42" s="3">
        <f>-4.78000020980834-0.72</f>
        <v>-5.5000002098083396</v>
      </c>
      <c r="R42">
        <v>3.51</v>
      </c>
      <c r="S42">
        <f>R42+ABS(Q42)</f>
        <v>9.0100002098083394</v>
      </c>
      <c r="T42" t="s">
        <v>254</v>
      </c>
    </row>
    <row r="43" spans="1:20" x14ac:dyDescent="0.3">
      <c r="A43">
        <v>1</v>
      </c>
      <c r="B43" t="s">
        <v>74</v>
      </c>
      <c r="C43" s="1">
        <v>44239</v>
      </c>
      <c r="D43" s="2">
        <v>0.46319444444444446</v>
      </c>
      <c r="E43" t="s">
        <v>75</v>
      </c>
      <c r="F43">
        <v>-4.92</v>
      </c>
      <c r="G43">
        <v>-0.86</v>
      </c>
      <c r="H43">
        <f>ABS(F43)-ABS(G43)</f>
        <v>4.0599999999999996</v>
      </c>
      <c r="I43" t="s">
        <v>254</v>
      </c>
      <c r="L43">
        <v>2</v>
      </c>
      <c r="M43" t="s">
        <v>74</v>
      </c>
      <c r="N43" s="1">
        <v>44427</v>
      </c>
      <c r="O43" s="2">
        <v>0.54583333333333328</v>
      </c>
      <c r="P43" t="s">
        <v>75</v>
      </c>
      <c r="Q43">
        <v>-4.92</v>
      </c>
      <c r="R43">
        <v>4.91</v>
      </c>
      <c r="S43">
        <f t="shared" si="1"/>
        <v>9.83</v>
      </c>
      <c r="T43" t="s">
        <v>254</v>
      </c>
    </row>
    <row r="44" spans="1:20" x14ac:dyDescent="0.3">
      <c r="A44">
        <v>1</v>
      </c>
      <c r="B44" t="s">
        <v>76</v>
      </c>
      <c r="C44" s="1">
        <v>44239</v>
      </c>
      <c r="D44" s="2">
        <v>0.54305555555555551</v>
      </c>
      <c r="E44" t="s">
        <v>81</v>
      </c>
      <c r="F44">
        <v>-3.94</v>
      </c>
      <c r="G44">
        <v>1.1299999999999999</v>
      </c>
      <c r="H44">
        <f t="shared" si="0"/>
        <v>5.07</v>
      </c>
      <c r="I44" t="s">
        <v>255</v>
      </c>
      <c r="L44">
        <v>2</v>
      </c>
      <c r="M44" t="s">
        <v>76</v>
      </c>
      <c r="N44" s="1">
        <v>44427</v>
      </c>
      <c r="O44" s="2">
        <v>0.41319444444444442</v>
      </c>
      <c r="P44" t="s">
        <v>81</v>
      </c>
      <c r="Q44">
        <v>-3.94</v>
      </c>
      <c r="R44">
        <v>2.1</v>
      </c>
      <c r="S44">
        <f t="shared" si="1"/>
        <v>6.04</v>
      </c>
      <c r="T44" t="s">
        <v>255</v>
      </c>
    </row>
    <row r="45" spans="1:20" x14ac:dyDescent="0.3">
      <c r="C45" s="1"/>
      <c r="D45" s="2"/>
      <c r="N45" s="1"/>
      <c r="O45" s="2"/>
    </row>
    <row r="46" spans="1:20" x14ac:dyDescent="0.3">
      <c r="C46" s="1"/>
      <c r="D46" s="4" t="s">
        <v>242</v>
      </c>
      <c r="K46" s="13"/>
      <c r="N46" s="1"/>
      <c r="O46" s="2"/>
    </row>
    <row r="47" spans="1:20" x14ac:dyDescent="0.3">
      <c r="D47" s="5" t="s">
        <v>256</v>
      </c>
    </row>
    <row r="48" spans="1:20" x14ac:dyDescent="0.3">
      <c r="D48" s="5"/>
    </row>
    <row r="49" spans="1:20" x14ac:dyDescent="0.3">
      <c r="F49" t="s">
        <v>175</v>
      </c>
      <c r="G49" t="s">
        <v>174</v>
      </c>
      <c r="H49" t="s">
        <v>176</v>
      </c>
      <c r="I49" t="s">
        <v>243</v>
      </c>
      <c r="Q49" t="s">
        <v>175</v>
      </c>
      <c r="R49" t="s">
        <v>174</v>
      </c>
      <c r="S49" t="s">
        <v>176</v>
      </c>
      <c r="T49" t="s">
        <v>243</v>
      </c>
    </row>
    <row r="50" spans="1:20" x14ac:dyDescent="0.3">
      <c r="F50" t="s">
        <v>137</v>
      </c>
      <c r="G50" t="s">
        <v>137</v>
      </c>
      <c r="H50" t="s">
        <v>177</v>
      </c>
      <c r="Q50" t="s">
        <v>137</v>
      </c>
      <c r="R50" t="s">
        <v>137</v>
      </c>
      <c r="S50" t="s">
        <v>177</v>
      </c>
    </row>
    <row r="51" spans="1:20" x14ac:dyDescent="0.3">
      <c r="A51">
        <v>1</v>
      </c>
      <c r="B51" t="s">
        <v>105</v>
      </c>
      <c r="C51" s="1">
        <v>44242</v>
      </c>
      <c r="D51" s="2">
        <v>0.54027777777777775</v>
      </c>
      <c r="E51" t="s">
        <v>92</v>
      </c>
      <c r="F51">
        <v>-6.7800002098083496</v>
      </c>
      <c r="G51">
        <v>-1.43</v>
      </c>
      <c r="H51">
        <f>ABS(F51)-ABS(G51)</f>
        <v>5.3500002098083499</v>
      </c>
      <c r="I51" t="s">
        <v>260</v>
      </c>
      <c r="L51">
        <v>2</v>
      </c>
      <c r="M51" t="s">
        <v>105</v>
      </c>
      <c r="N51" s="1">
        <v>44428</v>
      </c>
      <c r="O51" s="2">
        <v>0.51250000000000007</v>
      </c>
      <c r="P51" t="s">
        <v>92</v>
      </c>
      <c r="Q51">
        <v>-6.7800002098083496</v>
      </c>
      <c r="R51">
        <v>2.2000000000000002</v>
      </c>
      <c r="S51">
        <f>R51+ABS(Q51)</f>
        <v>8.9800002098083489</v>
      </c>
      <c r="T51" t="s">
        <v>260</v>
      </c>
    </row>
    <row r="52" spans="1:20" x14ac:dyDescent="0.3">
      <c r="A52">
        <v>1</v>
      </c>
      <c r="B52" t="s">
        <v>98</v>
      </c>
      <c r="C52" s="1">
        <v>44242</v>
      </c>
      <c r="D52" s="2">
        <v>0.46111111111111108</v>
      </c>
      <c r="E52" t="s">
        <v>99</v>
      </c>
      <c r="F52">
        <v>-3.5899999141693102</v>
      </c>
      <c r="G52">
        <v>-2.39</v>
      </c>
      <c r="H52">
        <f>ABS(F52)-ABS(G52)</f>
        <v>1.1999999141693101</v>
      </c>
      <c r="I52" t="s">
        <v>259</v>
      </c>
      <c r="L52">
        <v>2</v>
      </c>
      <c r="M52" t="s">
        <v>98</v>
      </c>
      <c r="N52" s="1">
        <v>44428</v>
      </c>
      <c r="O52" s="2">
        <v>0.4291666666666667</v>
      </c>
      <c r="P52" t="s">
        <v>99</v>
      </c>
      <c r="Q52">
        <v>-3.5899999141693102</v>
      </c>
      <c r="R52">
        <v>0.23</v>
      </c>
      <c r="S52">
        <f>R52+ABS(Q52)</f>
        <v>3.8199999141693102</v>
      </c>
      <c r="T52" t="s">
        <v>259</v>
      </c>
    </row>
  </sheetData>
  <phoneticPr fontId="7" type="noConversion"/>
  <pageMargins left="0.7" right="0.7" top="0.75" bottom="0.75" header="0.3" footer="0.3"/>
  <pageSetup paperSize="9" orientation="portrait" r:id="rId1"/>
  <ignoredErrors>
    <ignoredError sqref="H29:H30 H34 S38 S29:S30 H4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K36"/>
  <sheetViews>
    <sheetView zoomScale="90" zoomScaleNormal="90" workbookViewId="0">
      <selection activeCell="I29" sqref="I29"/>
    </sheetView>
  </sheetViews>
  <sheetFormatPr defaultRowHeight="14.4" x14ac:dyDescent="0.3"/>
  <cols>
    <col min="4" max="4" width="39.6640625" customWidth="1"/>
    <col min="5" max="5" width="35.33203125" customWidth="1"/>
    <col min="6" max="6" width="13.109375" customWidth="1"/>
    <col min="13" max="13" width="10.21875" customWidth="1"/>
    <col min="19" max="19" width="15.109375" customWidth="1"/>
    <col min="22" max="22" width="17.77734375" customWidth="1"/>
  </cols>
  <sheetData>
    <row r="3" spans="4:11" x14ac:dyDescent="0.3">
      <c r="D3" s="4" t="s">
        <v>128</v>
      </c>
    </row>
    <row r="5" spans="4:11" x14ac:dyDescent="0.3">
      <c r="D5" t="s">
        <v>124</v>
      </c>
      <c r="K5" s="4" t="s">
        <v>298</v>
      </c>
    </row>
    <row r="6" spans="4:11" x14ac:dyDescent="0.3">
      <c r="D6" t="s">
        <v>135</v>
      </c>
    </row>
    <row r="8" spans="4:11" x14ac:dyDescent="0.3">
      <c r="D8" t="s">
        <v>125</v>
      </c>
    </row>
    <row r="9" spans="4:11" x14ac:dyDescent="0.3">
      <c r="D9" t="s">
        <v>140</v>
      </c>
    </row>
    <row r="11" spans="4:11" x14ac:dyDescent="0.3">
      <c r="D11" t="s">
        <v>126</v>
      </c>
    </row>
    <row r="12" spans="4:11" x14ac:dyDescent="0.3">
      <c r="D12" t="s">
        <v>141</v>
      </c>
    </row>
    <row r="14" spans="4:11" x14ac:dyDescent="0.3">
      <c r="D14" s="19" t="s">
        <v>279</v>
      </c>
    </row>
    <row r="15" spans="4:11" x14ac:dyDescent="0.3">
      <c r="D15" s="19" t="s">
        <v>285</v>
      </c>
    </row>
    <row r="17" spans="4:6" x14ac:dyDescent="0.3">
      <c r="E17" s="4" t="s">
        <v>295</v>
      </c>
    </row>
    <row r="18" spans="4:6" x14ac:dyDescent="0.3">
      <c r="D18" s="3" t="s">
        <v>273</v>
      </c>
      <c r="E18" s="5" t="s">
        <v>278</v>
      </c>
    </row>
    <row r="19" spans="4:6" x14ac:dyDescent="0.3">
      <c r="D19" s="3" t="s">
        <v>289</v>
      </c>
      <c r="E19" s="5" t="s">
        <v>286</v>
      </c>
    </row>
    <row r="20" spans="4:6" x14ac:dyDescent="0.3">
      <c r="D20" s="3" t="s">
        <v>305</v>
      </c>
      <c r="E20" s="5" t="s">
        <v>287</v>
      </c>
    </row>
    <row r="21" spans="4:6" x14ac:dyDescent="0.3">
      <c r="D21" s="3" t="s">
        <v>290</v>
      </c>
      <c r="E21" s="5" t="s">
        <v>288</v>
      </c>
    </row>
    <row r="22" spans="4:6" x14ac:dyDescent="0.3">
      <c r="D22" s="3" t="s">
        <v>277</v>
      </c>
      <c r="E22" s="5" t="s">
        <v>280</v>
      </c>
    </row>
    <row r="23" spans="4:6" x14ac:dyDescent="0.3">
      <c r="D23" s="3" t="s">
        <v>276</v>
      </c>
      <c r="E23" s="5" t="s">
        <v>281</v>
      </c>
    </row>
    <row r="24" spans="4:6" x14ac:dyDescent="0.3">
      <c r="D24" s="3" t="s">
        <v>304</v>
      </c>
      <c r="E24" s="5" t="s">
        <v>282</v>
      </c>
    </row>
    <row r="25" spans="4:6" x14ac:dyDescent="0.3">
      <c r="D25" s="3" t="s">
        <v>274</v>
      </c>
      <c r="E25" s="5" t="s">
        <v>283</v>
      </c>
    </row>
    <row r="26" spans="4:6" x14ac:dyDescent="0.3">
      <c r="D26" s="3" t="s">
        <v>275</v>
      </c>
      <c r="E26" s="5" t="s">
        <v>284</v>
      </c>
    </row>
    <row r="28" spans="4:6" x14ac:dyDescent="0.3">
      <c r="D28" s="9" t="s">
        <v>291</v>
      </c>
      <c r="E28" s="9" t="s">
        <v>296</v>
      </c>
      <c r="F28" s="4" t="s">
        <v>297</v>
      </c>
    </row>
    <row r="29" spans="4:6" x14ac:dyDescent="0.3">
      <c r="D29" s="3" t="s">
        <v>292</v>
      </c>
      <c r="E29" s="3" t="s">
        <v>292</v>
      </c>
      <c r="F29" s="3" t="s">
        <v>292</v>
      </c>
    </row>
    <row r="30" spans="4:6" x14ac:dyDescent="0.3">
      <c r="D30" t="s">
        <v>299</v>
      </c>
      <c r="E30" s="3" t="s">
        <v>306</v>
      </c>
      <c r="F30" s="3" t="s">
        <v>313</v>
      </c>
    </row>
    <row r="31" spans="4:6" x14ac:dyDescent="0.3">
      <c r="D31" t="s">
        <v>300</v>
      </c>
      <c r="E31" s="3" t="s">
        <v>307</v>
      </c>
      <c r="F31" s="3" t="s">
        <v>314</v>
      </c>
    </row>
    <row r="32" spans="4:6" x14ac:dyDescent="0.3">
      <c r="D32" s="3" t="s">
        <v>293</v>
      </c>
      <c r="E32" s="3" t="s">
        <v>308</v>
      </c>
      <c r="F32" s="3" t="s">
        <v>315</v>
      </c>
    </row>
    <row r="33" spans="4:6" x14ac:dyDescent="0.3">
      <c r="D33" s="3" t="s">
        <v>294</v>
      </c>
      <c r="E33" s="3" t="s">
        <v>309</v>
      </c>
      <c r="F33" s="3" t="s">
        <v>316</v>
      </c>
    </row>
    <row r="34" spans="4:6" x14ac:dyDescent="0.3">
      <c r="D34" t="s">
        <v>301</v>
      </c>
      <c r="E34" s="3" t="s">
        <v>310</v>
      </c>
      <c r="F34" s="3" t="s">
        <v>317</v>
      </c>
    </row>
    <row r="35" spans="4:6" x14ac:dyDescent="0.3">
      <c r="D35" t="s">
        <v>302</v>
      </c>
      <c r="E35" s="3" t="s">
        <v>311</v>
      </c>
      <c r="F35" s="3" t="s">
        <v>318</v>
      </c>
    </row>
    <row r="36" spans="4:6" x14ac:dyDescent="0.3">
      <c r="D36" t="s">
        <v>303</v>
      </c>
      <c r="E36" s="3" t="s">
        <v>312</v>
      </c>
      <c r="F36" s="3" t="s">
        <v>319</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93"/>
  <sheetViews>
    <sheetView topLeftCell="A34" zoomScale="80" zoomScaleNormal="80" workbookViewId="0">
      <selection activeCell="C2" sqref="C2"/>
    </sheetView>
  </sheetViews>
  <sheetFormatPr defaultRowHeight="14.4" x14ac:dyDescent="0.3"/>
  <cols>
    <col min="2" max="2" width="19" customWidth="1"/>
    <col min="3" max="3" width="16.5546875" customWidth="1"/>
    <col min="4" max="4" width="20" customWidth="1"/>
    <col min="5" max="5" width="20.6640625" customWidth="1"/>
    <col min="6" max="6" width="19" customWidth="1"/>
    <col min="7" max="7" width="17.6640625" customWidth="1"/>
    <col min="8" max="8" width="23.77734375" customWidth="1"/>
    <col min="9" max="9" width="18.21875" customWidth="1"/>
    <col min="10" max="10" width="29.5546875" customWidth="1"/>
    <col min="11" max="11" width="11.88671875" customWidth="1"/>
    <col min="12" max="12" width="12.77734375" customWidth="1"/>
    <col min="13" max="13" width="11.21875" customWidth="1"/>
    <col min="14" max="14" width="20.6640625" customWidth="1"/>
    <col min="15" max="15" width="18" customWidth="1"/>
    <col min="16" max="16" width="21.6640625" customWidth="1"/>
    <col min="17" max="17" width="19.109375" customWidth="1"/>
    <col min="18" max="18" width="21" customWidth="1"/>
    <col min="19" max="19" width="18.88671875" customWidth="1"/>
    <col min="20" max="20" width="22.5546875" customWidth="1"/>
    <col min="21" max="21" width="18.88671875" customWidth="1"/>
  </cols>
  <sheetData>
    <row r="2" spans="2:7" x14ac:dyDescent="0.3">
      <c r="C2" s="5" t="s">
        <v>186</v>
      </c>
    </row>
    <row r="3" spans="2:7" x14ac:dyDescent="0.3">
      <c r="C3" s="3" t="s">
        <v>263</v>
      </c>
    </row>
    <row r="5" spans="2:7" x14ac:dyDescent="0.3">
      <c r="B5" t="s">
        <v>148</v>
      </c>
      <c r="C5" t="s">
        <v>151</v>
      </c>
    </row>
    <row r="7" spans="2:7" x14ac:dyDescent="0.3">
      <c r="C7" t="s">
        <v>152</v>
      </c>
      <c r="D7" s="5" t="s">
        <v>184</v>
      </c>
    </row>
    <row r="8" spans="2:7" x14ac:dyDescent="0.3">
      <c r="D8" s="3" t="s">
        <v>265</v>
      </c>
    </row>
    <row r="10" spans="2:7" x14ac:dyDescent="0.3">
      <c r="D10" s="4" t="s">
        <v>160</v>
      </c>
      <c r="E10" s="4" t="s">
        <v>12</v>
      </c>
      <c r="F10" s="4" t="s">
        <v>13</v>
      </c>
    </row>
    <row r="11" spans="2:7" x14ac:dyDescent="0.3">
      <c r="D11" t="s">
        <v>132</v>
      </c>
      <c r="E11">
        <v>50.997993999999998</v>
      </c>
      <c r="F11">
        <v>3.8041499999999999</v>
      </c>
    </row>
    <row r="12" spans="2:7" x14ac:dyDescent="0.3">
      <c r="D12" t="s">
        <v>153</v>
      </c>
      <c r="E12">
        <v>51.222000000000001</v>
      </c>
      <c r="F12">
        <v>4.4589270000000001</v>
      </c>
      <c r="G12" s="5" t="s">
        <v>159</v>
      </c>
    </row>
    <row r="13" spans="2:7" x14ac:dyDescent="0.3">
      <c r="D13" t="s">
        <v>154</v>
      </c>
      <c r="E13">
        <v>51.349463999999998</v>
      </c>
      <c r="F13">
        <v>4.37845</v>
      </c>
    </row>
    <row r="14" spans="2:7" x14ac:dyDescent="0.3">
      <c r="D14" t="s">
        <v>155</v>
      </c>
      <c r="E14">
        <v>51.069665999999998</v>
      </c>
      <c r="F14">
        <v>4.5346080000000004</v>
      </c>
    </row>
    <row r="16" spans="2:7" x14ac:dyDescent="0.3">
      <c r="C16" t="s">
        <v>185</v>
      </c>
      <c r="D16" s="5" t="s">
        <v>233</v>
      </c>
    </row>
    <row r="17" spans="2:15" x14ac:dyDescent="0.3">
      <c r="D17" s="12" t="s">
        <v>264</v>
      </c>
    </row>
    <row r="18" spans="2:15" x14ac:dyDescent="0.3">
      <c r="D18" s="12" t="s">
        <v>268</v>
      </c>
    </row>
    <row r="19" spans="2:15" x14ac:dyDescent="0.3">
      <c r="D19" s="5"/>
    </row>
    <row r="20" spans="2:15" x14ac:dyDescent="0.3">
      <c r="D20" s="36" t="s">
        <v>227</v>
      </c>
      <c r="E20" s="36"/>
      <c r="F20" s="36"/>
      <c r="G20" s="37" t="s">
        <v>228</v>
      </c>
      <c r="H20" s="37"/>
      <c r="I20" s="37"/>
      <c r="J20" s="37" t="s">
        <v>229</v>
      </c>
      <c r="K20" s="37"/>
      <c r="L20" s="37"/>
      <c r="M20" s="37" t="s">
        <v>226</v>
      </c>
      <c r="N20" s="37"/>
      <c r="O20" s="37"/>
    </row>
    <row r="21" spans="2:15" x14ac:dyDescent="0.3">
      <c r="D21" s="4" t="s">
        <v>160</v>
      </c>
      <c r="E21" s="4" t="s">
        <v>12</v>
      </c>
      <c r="F21" s="4" t="s">
        <v>13</v>
      </c>
      <c r="G21" s="4" t="s">
        <v>160</v>
      </c>
      <c r="H21" s="4" t="s">
        <v>12</v>
      </c>
      <c r="I21" s="4" t="s">
        <v>13</v>
      </c>
      <c r="J21" s="4" t="s">
        <v>160</v>
      </c>
      <c r="K21" s="4" t="s">
        <v>12</v>
      </c>
      <c r="L21" s="4" t="s">
        <v>13</v>
      </c>
      <c r="M21" s="4" t="s">
        <v>160</v>
      </c>
      <c r="N21" s="4" t="s">
        <v>12</v>
      </c>
      <c r="O21" s="4" t="s">
        <v>13</v>
      </c>
    </row>
    <row r="22" spans="2:15" x14ac:dyDescent="0.3">
      <c r="D22" t="s">
        <v>215</v>
      </c>
      <c r="E22">
        <v>51.244528000000003</v>
      </c>
      <c r="F22">
        <v>4.2667580000000003</v>
      </c>
      <c r="G22" t="s">
        <v>215</v>
      </c>
      <c r="H22">
        <v>51.244528000000003</v>
      </c>
      <c r="I22">
        <v>4.2667580000000003</v>
      </c>
      <c r="J22" t="s">
        <v>215</v>
      </c>
      <c r="K22">
        <v>51.244528000000003</v>
      </c>
      <c r="L22">
        <v>4.2667580000000003</v>
      </c>
      <c r="M22" t="s">
        <v>215</v>
      </c>
      <c r="N22">
        <v>51.244528000000003</v>
      </c>
      <c r="O22">
        <v>4.2667580000000003</v>
      </c>
    </row>
    <row r="23" spans="2:15" x14ac:dyDescent="0.3">
      <c r="D23" t="s">
        <v>216</v>
      </c>
      <c r="E23">
        <v>50.886704999999999</v>
      </c>
      <c r="F23">
        <v>4.0947959999999997</v>
      </c>
      <c r="G23" t="s">
        <v>216</v>
      </c>
      <c r="H23">
        <v>50.886704999999999</v>
      </c>
      <c r="I23">
        <v>4.0947959999999997</v>
      </c>
      <c r="J23" t="s">
        <v>216</v>
      </c>
      <c r="K23">
        <v>50.886704999999999</v>
      </c>
      <c r="L23">
        <v>4.0947959999999997</v>
      </c>
      <c r="M23" t="s">
        <v>216</v>
      </c>
      <c r="N23">
        <v>50.886704999999999</v>
      </c>
      <c r="O23">
        <v>4.0947959999999997</v>
      </c>
    </row>
    <row r="24" spans="2:15" x14ac:dyDescent="0.3">
      <c r="D24" t="s">
        <v>217</v>
      </c>
      <c r="E24">
        <v>51.272401000000002</v>
      </c>
      <c r="F24">
        <v>3.7280150000000001</v>
      </c>
      <c r="G24" t="s">
        <v>217</v>
      </c>
      <c r="H24">
        <v>51.272401000000002</v>
      </c>
      <c r="I24">
        <v>3.7280150000000001</v>
      </c>
      <c r="J24" t="s">
        <v>230</v>
      </c>
      <c r="K24">
        <v>51.266466999999999</v>
      </c>
      <c r="L24">
        <v>3.6861290000000002</v>
      </c>
      <c r="M24" t="s">
        <v>217</v>
      </c>
      <c r="N24">
        <v>51.272401000000002</v>
      </c>
      <c r="O24">
        <v>3.7280150000000001</v>
      </c>
    </row>
    <row r="25" spans="2:15" x14ac:dyDescent="0.3">
      <c r="D25" t="s">
        <v>218</v>
      </c>
      <c r="E25">
        <v>51.132109999999997</v>
      </c>
      <c r="F25">
        <v>4.5726889999999996</v>
      </c>
      <c r="J25" t="s">
        <v>220</v>
      </c>
      <c r="K25">
        <v>51.107472999999999</v>
      </c>
      <c r="L25">
        <v>4.2396060000000002</v>
      </c>
    </row>
    <row r="26" spans="2:15" x14ac:dyDescent="0.3">
      <c r="D26" t="s">
        <v>219</v>
      </c>
      <c r="E26">
        <v>51.174509</v>
      </c>
      <c r="F26">
        <v>4.6107699999999996</v>
      </c>
      <c r="J26" t="s">
        <v>221</v>
      </c>
      <c r="K26">
        <v>51.005955999999998</v>
      </c>
      <c r="L26">
        <v>4.0923660000000002</v>
      </c>
    </row>
    <row r="27" spans="2:15" x14ac:dyDescent="0.3">
      <c r="J27" t="s">
        <v>222</v>
      </c>
      <c r="K27">
        <v>50.977424999999997</v>
      </c>
      <c r="L27">
        <v>3.8786040000000002</v>
      </c>
    </row>
    <row r="28" spans="2:15" x14ac:dyDescent="0.3">
      <c r="J28" t="s">
        <v>223</v>
      </c>
      <c r="K28">
        <v>51.232773999999999</v>
      </c>
      <c r="L28">
        <v>3.5341279999999999</v>
      </c>
    </row>
    <row r="29" spans="2:15" x14ac:dyDescent="0.3">
      <c r="J29" t="s">
        <v>224</v>
      </c>
      <c r="K29">
        <v>51.146386999999997</v>
      </c>
      <c r="L29">
        <v>4.3765020000000003</v>
      </c>
    </row>
    <row r="30" spans="2:15" x14ac:dyDescent="0.3">
      <c r="J30" t="s">
        <v>225</v>
      </c>
      <c r="K30">
        <v>51.045693999999997</v>
      </c>
      <c r="L30">
        <v>4.0473980000000003</v>
      </c>
    </row>
    <row r="31" spans="2:15" x14ac:dyDescent="0.3">
      <c r="B31" t="s">
        <v>149</v>
      </c>
      <c r="C31" t="s">
        <v>257</v>
      </c>
    </row>
    <row r="33" spans="3:6" x14ac:dyDescent="0.3">
      <c r="C33" t="s">
        <v>163</v>
      </c>
      <c r="D33" s="5" t="s">
        <v>234</v>
      </c>
    </row>
    <row r="34" spans="3:6" x14ac:dyDescent="0.3">
      <c r="D34" t="s">
        <v>235</v>
      </c>
    </row>
    <row r="35" spans="3:6" x14ac:dyDescent="0.3">
      <c r="D35" t="s">
        <v>236</v>
      </c>
    </row>
    <row r="37" spans="3:6" x14ac:dyDescent="0.3">
      <c r="D37" t="s">
        <v>269</v>
      </c>
    </row>
    <row r="38" spans="3:6" x14ac:dyDescent="0.3">
      <c r="D38" t="s">
        <v>272</v>
      </c>
    </row>
    <row r="39" spans="3:6" x14ac:dyDescent="0.3">
      <c r="D39" t="s">
        <v>270</v>
      </c>
    </row>
    <row r="40" spans="3:6" x14ac:dyDescent="0.3">
      <c r="D40" t="s">
        <v>271</v>
      </c>
    </row>
    <row r="41" spans="3:6" x14ac:dyDescent="0.3">
      <c r="D41" t="s">
        <v>162</v>
      </c>
    </row>
    <row r="43" spans="3:6" x14ac:dyDescent="0.3">
      <c r="D43" s="3" t="s">
        <v>266</v>
      </c>
    </row>
    <row r="44" spans="3:6" x14ac:dyDescent="0.3">
      <c r="D44" s="3"/>
    </row>
    <row r="45" spans="3:6" x14ac:dyDescent="0.3">
      <c r="D45" s="9" t="s">
        <v>160</v>
      </c>
      <c r="E45" s="4" t="s">
        <v>12</v>
      </c>
      <c r="F45" s="4" t="s">
        <v>13</v>
      </c>
    </row>
    <row r="46" spans="3:6" x14ac:dyDescent="0.3">
      <c r="D46" s="3" t="s">
        <v>98</v>
      </c>
      <c r="E46">
        <v>51.442</v>
      </c>
      <c r="F46">
        <v>3.5960000000000001</v>
      </c>
    </row>
    <row r="47" spans="3:6" x14ac:dyDescent="0.3">
      <c r="C47" s="8"/>
      <c r="D47" s="3" t="s">
        <v>179</v>
      </c>
      <c r="E47">
        <v>51.378999999999998</v>
      </c>
      <c r="F47">
        <v>3.6720000000000002</v>
      </c>
    </row>
    <row r="48" spans="3:6" x14ac:dyDescent="0.3">
      <c r="C48" s="8"/>
      <c r="D48" s="3" t="s">
        <v>180</v>
      </c>
      <c r="E48">
        <v>51.447000000000003</v>
      </c>
      <c r="F48">
        <v>3.9980000000000002</v>
      </c>
    </row>
    <row r="49" spans="1:19" x14ac:dyDescent="0.3">
      <c r="C49" s="8"/>
      <c r="D49" s="3" t="s">
        <v>181</v>
      </c>
      <c r="E49">
        <v>51.225999999999999</v>
      </c>
      <c r="F49">
        <v>3.8610000000000002</v>
      </c>
    </row>
    <row r="50" spans="1:19" x14ac:dyDescent="0.3">
      <c r="C50" s="8"/>
      <c r="D50" s="3" t="s">
        <v>182</v>
      </c>
      <c r="E50">
        <v>51.527000000000001</v>
      </c>
      <c r="F50">
        <v>3.8839999999999999</v>
      </c>
    </row>
    <row r="51" spans="1:19" x14ac:dyDescent="0.3">
      <c r="C51" s="5"/>
      <c r="D51" s="3" t="s">
        <v>183</v>
      </c>
      <c r="E51">
        <v>51.448999999999998</v>
      </c>
      <c r="F51">
        <v>4.3419999999999996</v>
      </c>
    </row>
    <row r="52" spans="1:19" x14ac:dyDescent="0.3">
      <c r="C52" s="5"/>
      <c r="D52" s="3"/>
    </row>
    <row r="53" spans="1:19" x14ac:dyDescent="0.3">
      <c r="B53" t="s">
        <v>156</v>
      </c>
    </row>
    <row r="54" spans="1:19" x14ac:dyDescent="0.3">
      <c r="C54" t="s">
        <v>157</v>
      </c>
    </row>
    <row r="55" spans="1:19" x14ac:dyDescent="0.3">
      <c r="C55" t="s">
        <v>158</v>
      </c>
    </row>
    <row r="57" spans="1:19" x14ac:dyDescent="0.3">
      <c r="C57" t="s">
        <v>161</v>
      </c>
    </row>
    <row r="60" spans="1:19" x14ac:dyDescent="0.3">
      <c r="D60" s="33" t="s">
        <v>147</v>
      </c>
      <c r="E60" s="34"/>
      <c r="F60" s="34"/>
      <c r="G60" s="34"/>
      <c r="H60" s="35"/>
      <c r="N60" s="33" t="s">
        <v>147</v>
      </c>
      <c r="O60" s="34"/>
      <c r="P60" s="34"/>
      <c r="Q60" s="34"/>
      <c r="R60" s="35"/>
    </row>
    <row r="61" spans="1:19" x14ac:dyDescent="0.3">
      <c r="A61" s="6" t="s">
        <v>102</v>
      </c>
      <c r="B61" s="6" t="s">
        <v>1</v>
      </c>
      <c r="C61" s="6" t="s">
        <v>4</v>
      </c>
      <c r="D61" t="s">
        <v>28</v>
      </c>
      <c r="E61" t="s">
        <v>165</v>
      </c>
      <c r="F61" t="s">
        <v>129</v>
      </c>
      <c r="G61" t="s">
        <v>130</v>
      </c>
      <c r="H61" t="s">
        <v>29</v>
      </c>
      <c r="I61" s="7" t="s">
        <v>187</v>
      </c>
      <c r="K61" s="6" t="s">
        <v>102</v>
      </c>
      <c r="L61" s="6" t="s">
        <v>1</v>
      </c>
      <c r="M61" s="6" t="s">
        <v>4</v>
      </c>
      <c r="N61" t="s">
        <v>28</v>
      </c>
      <c r="O61" t="s">
        <v>165</v>
      </c>
      <c r="P61" t="s">
        <v>129</v>
      </c>
      <c r="Q61" t="s">
        <v>130</v>
      </c>
      <c r="R61" t="s">
        <v>29</v>
      </c>
      <c r="S61" s="7" t="s">
        <v>187</v>
      </c>
    </row>
    <row r="62" spans="1:19" x14ac:dyDescent="0.3">
      <c r="A62" t="s">
        <v>164</v>
      </c>
      <c r="B62" s="2" t="s">
        <v>103</v>
      </c>
      <c r="C62" t="s">
        <v>33</v>
      </c>
      <c r="D62" s="3" t="s">
        <v>132</v>
      </c>
      <c r="E62" s="3" t="s">
        <v>132</v>
      </c>
      <c r="F62" s="3" t="s">
        <v>132</v>
      </c>
      <c r="G62" s="3" t="s">
        <v>132</v>
      </c>
      <c r="H62" s="3" t="s">
        <v>132</v>
      </c>
      <c r="I62" s="3" t="s">
        <v>329</v>
      </c>
      <c r="L62" s="2"/>
    </row>
    <row r="63" spans="1:19" x14ac:dyDescent="0.3">
      <c r="A63" t="s">
        <v>164</v>
      </c>
      <c r="B63" t="s">
        <v>37</v>
      </c>
      <c r="C63" t="s">
        <v>38</v>
      </c>
      <c r="D63" s="3" t="s">
        <v>132</v>
      </c>
      <c r="E63" s="3" t="s">
        <v>132</v>
      </c>
      <c r="F63" s="9" t="s">
        <v>222</v>
      </c>
      <c r="G63" s="9" t="s">
        <v>222</v>
      </c>
      <c r="H63" s="3" t="s">
        <v>132</v>
      </c>
      <c r="I63" s="3" t="s">
        <v>188</v>
      </c>
    </row>
    <row r="64" spans="1:19" x14ac:dyDescent="0.3">
      <c r="A64" t="s">
        <v>164</v>
      </c>
      <c r="B64" t="s">
        <v>40</v>
      </c>
      <c r="C64" t="s">
        <v>41</v>
      </c>
      <c r="D64" s="3" t="s">
        <v>132</v>
      </c>
      <c r="E64" s="3" t="s">
        <v>132</v>
      </c>
      <c r="F64" s="9" t="s">
        <v>222</v>
      </c>
      <c r="G64" s="9" t="s">
        <v>222</v>
      </c>
      <c r="H64" s="3" t="s">
        <v>132</v>
      </c>
      <c r="I64" s="3" t="s">
        <v>189</v>
      </c>
    </row>
    <row r="65" spans="1:9" x14ac:dyDescent="0.3">
      <c r="A65" t="s">
        <v>164</v>
      </c>
      <c r="B65" t="s">
        <v>43</v>
      </c>
      <c r="C65" t="s">
        <v>44</v>
      </c>
      <c r="D65" s="3" t="s">
        <v>132</v>
      </c>
      <c r="E65" s="3" t="s">
        <v>132</v>
      </c>
      <c r="F65" s="9" t="s">
        <v>225</v>
      </c>
      <c r="G65" s="9" t="s">
        <v>225</v>
      </c>
      <c r="H65" s="3" t="s">
        <v>132</v>
      </c>
      <c r="I65" s="3" t="s">
        <v>190</v>
      </c>
    </row>
    <row r="66" spans="1:9" x14ac:dyDescent="0.3">
      <c r="A66" t="s">
        <v>164</v>
      </c>
      <c r="B66" t="s">
        <v>45</v>
      </c>
      <c r="C66" t="s">
        <v>46</v>
      </c>
      <c r="D66" s="9" t="s">
        <v>216</v>
      </c>
      <c r="E66" s="9" t="s">
        <v>216</v>
      </c>
      <c r="F66" s="9" t="s">
        <v>225</v>
      </c>
      <c r="G66" s="9" t="s">
        <v>225</v>
      </c>
      <c r="H66" s="16" t="s">
        <v>132</v>
      </c>
      <c r="I66" s="3" t="s">
        <v>191</v>
      </c>
    </row>
    <row r="67" spans="1:9" x14ac:dyDescent="0.3">
      <c r="A67" t="s">
        <v>164</v>
      </c>
      <c r="B67" t="s">
        <v>48</v>
      </c>
      <c r="C67" t="s">
        <v>49</v>
      </c>
      <c r="D67" s="9" t="s">
        <v>216</v>
      </c>
      <c r="E67" s="9" t="s">
        <v>216</v>
      </c>
      <c r="F67" s="9" t="s">
        <v>221</v>
      </c>
      <c r="G67" s="9" t="s">
        <v>221</v>
      </c>
      <c r="H67" s="18" t="s">
        <v>132</v>
      </c>
      <c r="I67" s="3" t="s">
        <v>192</v>
      </c>
    </row>
    <row r="68" spans="1:9" x14ac:dyDescent="0.3">
      <c r="A68" t="s">
        <v>164</v>
      </c>
      <c r="B68" t="s">
        <v>51</v>
      </c>
      <c r="C68" t="s">
        <v>52</v>
      </c>
      <c r="D68" s="9" t="s">
        <v>216</v>
      </c>
      <c r="E68" s="9" t="s">
        <v>216</v>
      </c>
      <c r="F68" s="9" t="s">
        <v>221</v>
      </c>
      <c r="G68" s="9" t="s">
        <v>221</v>
      </c>
      <c r="H68" s="16" t="s">
        <v>132</v>
      </c>
      <c r="I68" s="3" t="s">
        <v>193</v>
      </c>
    </row>
    <row r="69" spans="1:9" x14ac:dyDescent="0.3">
      <c r="A69" t="s">
        <v>164</v>
      </c>
      <c r="B69" t="s">
        <v>53</v>
      </c>
      <c r="C69" t="s">
        <v>54</v>
      </c>
      <c r="D69" s="9" t="s">
        <v>216</v>
      </c>
      <c r="E69" s="9" t="s">
        <v>216</v>
      </c>
      <c r="F69" s="9" t="s">
        <v>220</v>
      </c>
      <c r="G69" s="9" t="s">
        <v>220</v>
      </c>
      <c r="H69" s="16" t="s">
        <v>267</v>
      </c>
      <c r="I69" s="3" t="s">
        <v>194</v>
      </c>
    </row>
    <row r="70" spans="1:9" x14ac:dyDescent="0.3">
      <c r="A70" t="s">
        <v>164</v>
      </c>
      <c r="B70" t="s">
        <v>55</v>
      </c>
      <c r="C70" t="s">
        <v>56</v>
      </c>
      <c r="D70" s="9" t="s">
        <v>215</v>
      </c>
      <c r="E70" s="9" t="s">
        <v>215</v>
      </c>
      <c r="F70" s="9" t="s">
        <v>220</v>
      </c>
      <c r="G70" s="9" t="s">
        <v>220</v>
      </c>
      <c r="H70" s="16" t="s">
        <v>153</v>
      </c>
      <c r="I70" s="3" t="s">
        <v>195</v>
      </c>
    </row>
    <row r="71" spans="1:9" x14ac:dyDescent="0.3">
      <c r="A71" t="s">
        <v>164</v>
      </c>
      <c r="B71" t="s">
        <v>57</v>
      </c>
      <c r="C71" t="s">
        <v>58</v>
      </c>
      <c r="D71" s="9" t="s">
        <v>215</v>
      </c>
      <c r="E71" s="9" t="s">
        <v>215</v>
      </c>
      <c r="F71" s="9" t="s">
        <v>220</v>
      </c>
      <c r="G71" s="9" t="s">
        <v>220</v>
      </c>
      <c r="H71" s="16" t="s">
        <v>153</v>
      </c>
      <c r="I71" s="3" t="s">
        <v>196</v>
      </c>
    </row>
    <row r="72" spans="1:9" x14ac:dyDescent="0.3">
      <c r="A72" t="s">
        <v>164</v>
      </c>
      <c r="B72" t="s">
        <v>59</v>
      </c>
      <c r="C72" t="s">
        <v>60</v>
      </c>
      <c r="D72" s="9" t="s">
        <v>215</v>
      </c>
      <c r="E72" s="9" t="s">
        <v>215</v>
      </c>
      <c r="F72" s="9" t="s">
        <v>220</v>
      </c>
      <c r="G72" s="9" t="s">
        <v>220</v>
      </c>
      <c r="H72" s="16" t="s">
        <v>153</v>
      </c>
      <c r="I72" s="3" t="s">
        <v>197</v>
      </c>
    </row>
    <row r="73" spans="1:9" x14ac:dyDescent="0.3">
      <c r="A73" t="s">
        <v>164</v>
      </c>
      <c r="B73" t="s">
        <v>61</v>
      </c>
      <c r="C73" t="s">
        <v>62</v>
      </c>
      <c r="D73" s="9" t="s">
        <v>215</v>
      </c>
      <c r="E73" s="9" t="s">
        <v>215</v>
      </c>
      <c r="F73" s="9" t="s">
        <v>224</v>
      </c>
      <c r="G73" s="9" t="s">
        <v>224</v>
      </c>
      <c r="H73" s="16" t="s">
        <v>153</v>
      </c>
      <c r="I73" s="3" t="s">
        <v>198</v>
      </c>
    </row>
    <row r="74" spans="1:9" x14ac:dyDescent="0.3">
      <c r="A74" t="s">
        <v>164</v>
      </c>
      <c r="B74" t="s">
        <v>63</v>
      </c>
      <c r="C74" t="s">
        <v>64</v>
      </c>
      <c r="D74" s="9" t="s">
        <v>215</v>
      </c>
      <c r="E74" s="9" t="s">
        <v>215</v>
      </c>
      <c r="F74" s="9" t="s">
        <v>224</v>
      </c>
      <c r="G74" s="9" t="s">
        <v>224</v>
      </c>
      <c r="H74" s="16" t="s">
        <v>153</v>
      </c>
      <c r="I74" s="3" t="s">
        <v>199</v>
      </c>
    </row>
    <row r="75" spans="1:9" x14ac:dyDescent="0.3">
      <c r="A75" t="s">
        <v>164</v>
      </c>
      <c r="B75" t="s">
        <v>65</v>
      </c>
      <c r="C75" t="s">
        <v>66</v>
      </c>
      <c r="D75" s="9" t="s">
        <v>215</v>
      </c>
      <c r="E75" s="9" t="s">
        <v>215</v>
      </c>
      <c r="F75" s="9" t="s">
        <v>224</v>
      </c>
      <c r="G75" s="9" t="s">
        <v>224</v>
      </c>
      <c r="H75" s="16" t="s">
        <v>153</v>
      </c>
      <c r="I75" s="3" t="s">
        <v>200</v>
      </c>
    </row>
    <row r="76" spans="1:9" x14ac:dyDescent="0.3">
      <c r="A76" t="s">
        <v>164</v>
      </c>
      <c r="B76" t="s">
        <v>67</v>
      </c>
      <c r="C76" t="s">
        <v>68</v>
      </c>
      <c r="D76" s="3" t="s">
        <v>153</v>
      </c>
      <c r="E76" s="3" t="s">
        <v>153</v>
      </c>
      <c r="F76" s="14" t="s">
        <v>261</v>
      </c>
      <c r="G76" s="14" t="s">
        <v>261</v>
      </c>
      <c r="H76" s="3" t="s">
        <v>153</v>
      </c>
      <c r="I76" s="3" t="s">
        <v>201</v>
      </c>
    </row>
    <row r="77" spans="1:9" x14ac:dyDescent="0.3">
      <c r="A77" t="s">
        <v>164</v>
      </c>
      <c r="B77" t="s">
        <v>69</v>
      </c>
      <c r="C77" t="s">
        <v>70</v>
      </c>
      <c r="D77" s="3" t="s">
        <v>153</v>
      </c>
      <c r="E77" s="3" t="s">
        <v>153</v>
      </c>
      <c r="F77" s="14" t="s">
        <v>262</v>
      </c>
      <c r="G77" s="14" t="s">
        <v>262</v>
      </c>
      <c r="H77" s="3" t="s">
        <v>153</v>
      </c>
      <c r="I77" s="3" t="s">
        <v>202</v>
      </c>
    </row>
    <row r="78" spans="1:9" x14ac:dyDescent="0.3">
      <c r="A78" t="s">
        <v>164</v>
      </c>
      <c r="B78" t="s">
        <v>104</v>
      </c>
      <c r="C78" t="s">
        <v>71</v>
      </c>
      <c r="D78" s="3" t="s">
        <v>153</v>
      </c>
      <c r="E78" s="3" t="s">
        <v>153</v>
      </c>
      <c r="F78" s="14" t="s">
        <v>262</v>
      </c>
      <c r="G78" s="14" t="s">
        <v>262</v>
      </c>
      <c r="H78" s="3" t="s">
        <v>153</v>
      </c>
      <c r="I78" s="3" t="s">
        <v>203</v>
      </c>
    </row>
    <row r="79" spans="1:9" x14ac:dyDescent="0.3">
      <c r="A79" t="s">
        <v>164</v>
      </c>
      <c r="B79" t="s">
        <v>72</v>
      </c>
      <c r="C79" t="s">
        <v>73</v>
      </c>
      <c r="D79" s="9" t="s">
        <v>215</v>
      </c>
      <c r="E79" s="9" t="s">
        <v>215</v>
      </c>
      <c r="F79" s="9" t="s">
        <v>215</v>
      </c>
      <c r="G79" s="9" t="s">
        <v>215</v>
      </c>
      <c r="H79" s="16" t="s">
        <v>153</v>
      </c>
      <c r="I79" s="3" t="s">
        <v>204</v>
      </c>
    </row>
    <row r="80" spans="1:9" x14ac:dyDescent="0.3">
      <c r="A80" t="s">
        <v>164</v>
      </c>
      <c r="B80" t="s">
        <v>74</v>
      </c>
      <c r="C80" t="s">
        <v>75</v>
      </c>
      <c r="D80" s="9" t="s">
        <v>215</v>
      </c>
      <c r="E80" s="9" t="s">
        <v>215</v>
      </c>
      <c r="F80" s="9" t="s">
        <v>215</v>
      </c>
      <c r="G80" s="9" t="s">
        <v>215</v>
      </c>
      <c r="H80" s="18" t="s">
        <v>154</v>
      </c>
      <c r="I80" s="3" t="s">
        <v>205</v>
      </c>
    </row>
    <row r="81" spans="1:19" x14ac:dyDescent="0.3">
      <c r="A81" t="s">
        <v>164</v>
      </c>
      <c r="B81" t="s">
        <v>80</v>
      </c>
      <c r="C81" t="s">
        <v>77</v>
      </c>
      <c r="D81" s="9" t="s">
        <v>215</v>
      </c>
      <c r="E81" s="9" t="s">
        <v>215</v>
      </c>
      <c r="F81" s="9" t="s">
        <v>215</v>
      </c>
      <c r="G81" s="9" t="s">
        <v>215</v>
      </c>
      <c r="H81" s="16" t="s">
        <v>154</v>
      </c>
      <c r="I81" s="3" t="s">
        <v>207</v>
      </c>
    </row>
    <row r="82" spans="1:19" x14ac:dyDescent="0.3">
      <c r="A82" s="10" t="s">
        <v>164</v>
      </c>
      <c r="B82" s="10" t="s">
        <v>78</v>
      </c>
      <c r="C82" s="10" t="s">
        <v>79</v>
      </c>
      <c r="D82" s="9" t="s">
        <v>215</v>
      </c>
      <c r="E82" s="9" t="s">
        <v>215</v>
      </c>
      <c r="F82" s="9" t="s">
        <v>215</v>
      </c>
      <c r="G82" s="9" t="s">
        <v>215</v>
      </c>
      <c r="H82" s="16" t="s">
        <v>154</v>
      </c>
      <c r="I82" s="3" t="s">
        <v>208</v>
      </c>
      <c r="K82" s="10"/>
      <c r="L82" s="10"/>
      <c r="M82" s="10"/>
    </row>
    <row r="83" spans="1:19" x14ac:dyDescent="0.3">
      <c r="A83" t="s">
        <v>164</v>
      </c>
      <c r="B83" t="s">
        <v>76</v>
      </c>
      <c r="C83" t="s">
        <v>81</v>
      </c>
      <c r="D83" s="9" t="s">
        <v>215</v>
      </c>
      <c r="E83" s="9" t="s">
        <v>215</v>
      </c>
      <c r="F83" s="9" t="s">
        <v>215</v>
      </c>
      <c r="G83" s="9" t="s">
        <v>215</v>
      </c>
      <c r="H83" s="16" t="s">
        <v>154</v>
      </c>
      <c r="I83" s="3" t="s">
        <v>206</v>
      </c>
    </row>
    <row r="84" spans="1:19" x14ac:dyDescent="0.3">
      <c r="A84" s="10">
        <v>1</v>
      </c>
      <c r="B84" s="10" t="s">
        <v>82</v>
      </c>
      <c r="C84" s="10" t="s">
        <v>83</v>
      </c>
      <c r="D84" s="9" t="s">
        <v>215</v>
      </c>
      <c r="E84" s="9" t="s">
        <v>215</v>
      </c>
      <c r="F84" s="9" t="s">
        <v>215</v>
      </c>
      <c r="G84" s="9" t="s">
        <v>215</v>
      </c>
      <c r="H84" s="16" t="s">
        <v>154</v>
      </c>
      <c r="I84" s="3" t="s">
        <v>209</v>
      </c>
      <c r="K84" s="10">
        <v>2</v>
      </c>
      <c r="L84" s="10" t="s">
        <v>82</v>
      </c>
      <c r="M84" s="10" t="s">
        <v>83</v>
      </c>
      <c r="N84" s="3" t="s">
        <v>154</v>
      </c>
      <c r="O84" s="3" t="s">
        <v>154</v>
      </c>
      <c r="P84" s="3" t="s">
        <v>154</v>
      </c>
      <c r="Q84" s="3" t="s">
        <v>154</v>
      </c>
      <c r="R84" s="3" t="s">
        <v>154</v>
      </c>
      <c r="S84" s="3" t="s">
        <v>211</v>
      </c>
    </row>
    <row r="85" spans="1:19" x14ac:dyDescent="0.3">
      <c r="A85" s="10">
        <v>1</v>
      </c>
      <c r="B85" s="10" t="s">
        <v>84</v>
      </c>
      <c r="C85" s="10" t="s">
        <v>85</v>
      </c>
      <c r="D85" s="3" t="s">
        <v>154</v>
      </c>
      <c r="E85" s="3" t="s">
        <v>154</v>
      </c>
      <c r="F85" s="3" t="s">
        <v>154</v>
      </c>
      <c r="G85" s="3" t="s">
        <v>154</v>
      </c>
      <c r="H85" s="3" t="s">
        <v>154</v>
      </c>
      <c r="I85" s="16" t="s">
        <v>210</v>
      </c>
      <c r="K85" s="10">
        <v>2</v>
      </c>
      <c r="L85" s="10" t="s">
        <v>84</v>
      </c>
      <c r="M85" s="10" t="s">
        <v>85</v>
      </c>
      <c r="N85" s="3" t="s">
        <v>154</v>
      </c>
      <c r="O85" s="3" t="s">
        <v>154</v>
      </c>
      <c r="P85" s="3" t="s">
        <v>154</v>
      </c>
      <c r="Q85" s="3" t="s">
        <v>154</v>
      </c>
      <c r="R85" s="3" t="s">
        <v>154</v>
      </c>
      <c r="S85" s="3" t="s">
        <v>212</v>
      </c>
    </row>
    <row r="86" spans="1:19" x14ac:dyDescent="0.3">
      <c r="A86" s="10">
        <v>1</v>
      </c>
      <c r="B86" s="10" t="s">
        <v>86</v>
      </c>
      <c r="C86" s="10" t="s">
        <v>87</v>
      </c>
      <c r="D86" s="16" t="s">
        <v>182</v>
      </c>
      <c r="E86" s="16" t="s">
        <v>180</v>
      </c>
      <c r="F86" s="16" t="s">
        <v>182</v>
      </c>
      <c r="G86" s="16" t="s">
        <v>182</v>
      </c>
      <c r="H86" s="16" t="s">
        <v>182</v>
      </c>
      <c r="I86" s="16" t="s">
        <v>320</v>
      </c>
      <c r="K86" s="10">
        <v>2</v>
      </c>
      <c r="L86" s="10" t="s">
        <v>86</v>
      </c>
      <c r="M86" s="10" t="s">
        <v>87</v>
      </c>
      <c r="N86" s="16" t="s">
        <v>182</v>
      </c>
      <c r="O86" s="16" t="s">
        <v>180</v>
      </c>
      <c r="P86" s="16" t="s">
        <v>182</v>
      </c>
      <c r="Q86" s="16" t="s">
        <v>182</v>
      </c>
      <c r="R86" s="16" t="s">
        <v>182</v>
      </c>
      <c r="S86" s="16" t="s">
        <v>326</v>
      </c>
    </row>
    <row r="87" spans="1:19" x14ac:dyDescent="0.3">
      <c r="A87" s="10">
        <v>1</v>
      </c>
      <c r="B87" s="10" t="s">
        <v>88</v>
      </c>
      <c r="C87" s="10" t="s">
        <v>89</v>
      </c>
      <c r="D87" s="16" t="s">
        <v>182</v>
      </c>
      <c r="E87" s="16" t="s">
        <v>180</v>
      </c>
      <c r="F87" s="16" t="s">
        <v>182</v>
      </c>
      <c r="G87" s="16" t="s">
        <v>182</v>
      </c>
      <c r="H87" s="16" t="s">
        <v>182</v>
      </c>
      <c r="I87" s="16" t="s">
        <v>321</v>
      </c>
      <c r="K87" s="10">
        <v>2</v>
      </c>
      <c r="L87" s="10" t="s">
        <v>88</v>
      </c>
      <c r="M87" s="10" t="s">
        <v>89</v>
      </c>
      <c r="N87" s="16" t="s">
        <v>182</v>
      </c>
      <c r="O87" s="16" t="s">
        <v>180</v>
      </c>
      <c r="P87" s="16" t="s">
        <v>182</v>
      </c>
      <c r="Q87" s="16" t="s">
        <v>182</v>
      </c>
      <c r="R87" s="16" t="s">
        <v>182</v>
      </c>
      <c r="S87" s="16" t="s">
        <v>327</v>
      </c>
    </row>
    <row r="88" spans="1:19" x14ac:dyDescent="0.3">
      <c r="A88" s="10" t="s">
        <v>164</v>
      </c>
      <c r="B88" s="10" t="s">
        <v>90</v>
      </c>
      <c r="C88" s="10" t="s">
        <v>91</v>
      </c>
      <c r="D88" s="16" t="s">
        <v>182</v>
      </c>
      <c r="E88" s="16" t="s">
        <v>180</v>
      </c>
      <c r="F88" s="16" t="s">
        <v>182</v>
      </c>
      <c r="G88" s="16" t="s">
        <v>182</v>
      </c>
      <c r="H88" s="16" t="s">
        <v>182</v>
      </c>
      <c r="I88" s="16" t="s">
        <v>322</v>
      </c>
      <c r="K88" s="10"/>
      <c r="L88" s="10"/>
      <c r="M88" s="10"/>
      <c r="N88" s="16"/>
      <c r="O88" s="16"/>
      <c r="P88" s="16"/>
      <c r="Q88" s="16"/>
      <c r="R88" s="16"/>
      <c r="S88" s="16"/>
    </row>
    <row r="89" spans="1:19" x14ac:dyDescent="0.3">
      <c r="A89" s="10" t="s">
        <v>164</v>
      </c>
      <c r="B89" s="10" t="s">
        <v>105</v>
      </c>
      <c r="C89" s="10" t="s">
        <v>92</v>
      </c>
      <c r="D89" s="17" t="s">
        <v>217</v>
      </c>
      <c r="E89" s="17" t="s">
        <v>217</v>
      </c>
      <c r="F89" s="17" t="s">
        <v>230</v>
      </c>
      <c r="G89" s="17" t="s">
        <v>230</v>
      </c>
      <c r="H89" s="16" t="s">
        <v>181</v>
      </c>
      <c r="I89" s="16" t="s">
        <v>323</v>
      </c>
      <c r="K89" s="10"/>
      <c r="L89" s="10"/>
      <c r="M89" s="10"/>
      <c r="N89" s="16"/>
      <c r="O89" s="16"/>
      <c r="P89" s="16"/>
      <c r="Q89" s="16"/>
      <c r="R89" s="16"/>
      <c r="S89" s="16"/>
    </row>
    <row r="90" spans="1:19" x14ac:dyDescent="0.3">
      <c r="A90" s="10">
        <v>1</v>
      </c>
      <c r="B90" s="10" t="s">
        <v>93</v>
      </c>
      <c r="C90" s="10" t="s">
        <v>94</v>
      </c>
      <c r="D90" s="17" t="s">
        <v>217</v>
      </c>
      <c r="E90" s="16" t="s">
        <v>180</v>
      </c>
      <c r="F90" s="17" t="s">
        <v>230</v>
      </c>
      <c r="G90" s="17" t="s">
        <v>230</v>
      </c>
      <c r="H90" s="18" t="s">
        <v>98</v>
      </c>
      <c r="I90" s="16" t="s">
        <v>324</v>
      </c>
      <c r="K90" s="10">
        <v>2</v>
      </c>
      <c r="L90" s="10" t="s">
        <v>93</v>
      </c>
      <c r="M90" s="10" t="s">
        <v>94</v>
      </c>
      <c r="N90" s="16" t="s">
        <v>98</v>
      </c>
      <c r="O90" s="16" t="s">
        <v>98</v>
      </c>
      <c r="P90" s="16" t="s">
        <v>98</v>
      </c>
      <c r="Q90" s="16" t="s">
        <v>98</v>
      </c>
      <c r="R90" s="16" t="s">
        <v>98</v>
      </c>
      <c r="S90" s="16" t="s">
        <v>328</v>
      </c>
    </row>
    <row r="91" spans="1:19" x14ac:dyDescent="0.3">
      <c r="A91" s="10" t="s">
        <v>164</v>
      </c>
      <c r="B91" s="10" t="s">
        <v>95</v>
      </c>
      <c r="C91" s="10" t="s">
        <v>96</v>
      </c>
      <c r="D91" s="16" t="s">
        <v>98</v>
      </c>
      <c r="E91" s="16" t="s">
        <v>98</v>
      </c>
      <c r="F91" s="16" t="s">
        <v>98</v>
      </c>
      <c r="G91" s="16" t="s">
        <v>98</v>
      </c>
      <c r="H91" s="16" t="s">
        <v>98</v>
      </c>
      <c r="I91" s="16" t="s">
        <v>325</v>
      </c>
      <c r="K91" s="10"/>
      <c r="L91" s="10"/>
      <c r="M91" s="10"/>
      <c r="S91" s="11"/>
    </row>
    <row r="92" spans="1:19" x14ac:dyDescent="0.3">
      <c r="A92" s="10" t="s">
        <v>164</v>
      </c>
      <c r="B92" s="10" t="s">
        <v>115</v>
      </c>
      <c r="C92" s="10" t="s">
        <v>97</v>
      </c>
      <c r="D92" s="3" t="s">
        <v>98</v>
      </c>
      <c r="E92" s="3" t="s">
        <v>98</v>
      </c>
      <c r="F92" s="3" t="s">
        <v>98</v>
      </c>
      <c r="G92" s="3" t="s">
        <v>98</v>
      </c>
      <c r="H92" s="3" t="s">
        <v>98</v>
      </c>
      <c r="I92" s="3" t="s">
        <v>231</v>
      </c>
      <c r="K92" s="10"/>
      <c r="L92" s="10"/>
      <c r="M92" s="10"/>
    </row>
    <row r="93" spans="1:19" x14ac:dyDescent="0.3">
      <c r="A93" t="s">
        <v>164</v>
      </c>
      <c r="B93" t="s">
        <v>98</v>
      </c>
      <c r="C93" t="s">
        <v>99</v>
      </c>
      <c r="D93" s="3" t="s">
        <v>98</v>
      </c>
      <c r="E93" s="3" t="s">
        <v>98</v>
      </c>
      <c r="F93" s="3" t="s">
        <v>98</v>
      </c>
      <c r="G93" s="3" t="s">
        <v>98</v>
      </c>
      <c r="H93" s="3" t="s">
        <v>98</v>
      </c>
      <c r="I93" s="3" t="s">
        <v>232</v>
      </c>
      <c r="M93" s="10"/>
    </row>
  </sheetData>
  <mergeCells count="6">
    <mergeCell ref="D60:H60"/>
    <mergeCell ref="N60:R60"/>
    <mergeCell ref="D20:F20"/>
    <mergeCell ref="G20:I20"/>
    <mergeCell ref="J20:L20"/>
    <mergeCell ref="M20:O20"/>
  </mergeCells>
  <phoneticPr fontId="7"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X45"/>
  <sheetViews>
    <sheetView workbookViewId="0">
      <selection activeCell="Q32" sqref="Q32"/>
    </sheetView>
  </sheetViews>
  <sheetFormatPr defaultRowHeight="14.4" x14ac:dyDescent="0.3"/>
  <cols>
    <col min="2" max="2" width="17.88671875" customWidth="1"/>
    <col min="3" max="3" width="14.109375" customWidth="1"/>
    <col min="7" max="7" width="11.6640625" customWidth="1"/>
    <col min="8" max="8" width="12.6640625" customWidth="1"/>
    <col min="14" max="14" width="15.21875" customWidth="1"/>
    <col min="18" max="18" width="13.5546875" customWidth="1"/>
    <col min="19" max="19" width="13.21875" customWidth="1"/>
  </cols>
  <sheetData>
    <row r="3" spans="1:24" x14ac:dyDescent="0.3">
      <c r="D3" s="4" t="s">
        <v>237</v>
      </c>
    </row>
    <row r="4" spans="1:24" x14ac:dyDescent="0.3">
      <c r="D4" s="12" t="s">
        <v>378</v>
      </c>
    </row>
    <row r="5" spans="1:24" x14ac:dyDescent="0.3">
      <c r="D5" s="12" t="s">
        <v>258</v>
      </c>
    </row>
    <row r="7" spans="1:24" x14ac:dyDescent="0.3">
      <c r="C7" s="5" t="s">
        <v>213</v>
      </c>
      <c r="N7" s="5" t="s">
        <v>214</v>
      </c>
    </row>
    <row r="8" spans="1:24" x14ac:dyDescent="0.3">
      <c r="A8" t="s">
        <v>102</v>
      </c>
      <c r="B8" t="s">
        <v>1</v>
      </c>
      <c r="C8" t="s">
        <v>2</v>
      </c>
      <c r="D8" t="s">
        <v>3</v>
      </c>
      <c r="E8" t="s">
        <v>4</v>
      </c>
      <c r="F8" t="s">
        <v>371</v>
      </c>
      <c r="H8" t="s">
        <v>446</v>
      </c>
      <c r="I8" t="s">
        <v>238</v>
      </c>
      <c r="L8" t="s">
        <v>102</v>
      </c>
      <c r="M8" t="s">
        <v>1</v>
      </c>
      <c r="N8" t="s">
        <v>2</v>
      </c>
      <c r="O8" t="s">
        <v>3</v>
      </c>
      <c r="P8" t="s">
        <v>4</v>
      </c>
      <c r="Q8" t="s">
        <v>371</v>
      </c>
      <c r="S8" t="s">
        <v>446</v>
      </c>
      <c r="T8" t="s">
        <v>238</v>
      </c>
    </row>
    <row r="9" spans="1:24" x14ac:dyDescent="0.3">
      <c r="A9" s="10">
        <v>1</v>
      </c>
      <c r="B9" s="10" t="s">
        <v>132</v>
      </c>
      <c r="C9" s="23">
        <v>44235</v>
      </c>
      <c r="D9" s="24">
        <v>0.49583333333333335</v>
      </c>
      <c r="E9" s="10" t="s">
        <v>33</v>
      </c>
      <c r="F9" s="3" t="s">
        <v>372</v>
      </c>
      <c r="G9" t="s">
        <v>432</v>
      </c>
      <c r="H9" t="s">
        <v>432</v>
      </c>
      <c r="I9" s="10" t="s">
        <v>239</v>
      </c>
      <c r="J9" s="2"/>
      <c r="K9" s="10"/>
      <c r="L9" s="10">
        <v>2</v>
      </c>
      <c r="M9" s="10" t="s">
        <v>132</v>
      </c>
      <c r="N9" s="23">
        <v>44424</v>
      </c>
      <c r="O9" s="24">
        <v>0.42291666666666666</v>
      </c>
      <c r="P9" s="10" t="s">
        <v>33</v>
      </c>
      <c r="Q9" s="3" t="s">
        <v>372</v>
      </c>
      <c r="R9" t="s">
        <v>432</v>
      </c>
      <c r="S9" t="s">
        <v>432</v>
      </c>
      <c r="T9" t="s">
        <v>239</v>
      </c>
      <c r="X9" s="2"/>
    </row>
    <row r="10" spans="1:24" x14ac:dyDescent="0.3">
      <c r="A10">
        <v>1</v>
      </c>
      <c r="B10" t="s">
        <v>37</v>
      </c>
      <c r="C10" s="1">
        <v>44235</v>
      </c>
      <c r="D10" s="2">
        <v>0.58333333333333337</v>
      </c>
      <c r="E10" t="s">
        <v>38</v>
      </c>
      <c r="F10" s="3" t="s">
        <v>373</v>
      </c>
      <c r="G10" t="s">
        <v>432</v>
      </c>
      <c r="H10" t="s">
        <v>432</v>
      </c>
      <c r="I10" t="s">
        <v>240</v>
      </c>
      <c r="L10">
        <v>2</v>
      </c>
      <c r="M10" t="s">
        <v>37</v>
      </c>
      <c r="N10" s="1">
        <v>44424</v>
      </c>
      <c r="O10" s="2">
        <v>0.48125000000000001</v>
      </c>
      <c r="P10" t="s">
        <v>38</v>
      </c>
      <c r="Q10" s="3" t="s">
        <v>373</v>
      </c>
      <c r="R10" t="s">
        <v>432</v>
      </c>
      <c r="S10" t="s">
        <v>432</v>
      </c>
      <c r="T10" t="s">
        <v>240</v>
      </c>
    </row>
    <row r="11" spans="1:24" x14ac:dyDescent="0.3">
      <c r="A11">
        <v>1</v>
      </c>
      <c r="B11" t="s">
        <v>40</v>
      </c>
      <c r="C11" s="1">
        <v>44235</v>
      </c>
      <c r="D11" s="2">
        <v>0.65416666666666667</v>
      </c>
      <c r="E11" t="s">
        <v>41</v>
      </c>
      <c r="F11" s="3" t="s">
        <v>373</v>
      </c>
      <c r="G11" t="s">
        <v>433</v>
      </c>
      <c r="H11" t="s">
        <v>433</v>
      </c>
      <c r="I11" t="s">
        <v>244</v>
      </c>
      <c r="L11">
        <v>2</v>
      </c>
      <c r="M11" t="s">
        <v>40</v>
      </c>
      <c r="N11" s="1">
        <v>44424</v>
      </c>
      <c r="O11" s="2">
        <v>0.52777777777777779</v>
      </c>
      <c r="P11" t="s">
        <v>41</v>
      </c>
      <c r="Q11" s="3" t="s">
        <v>373</v>
      </c>
      <c r="R11" t="s">
        <v>433</v>
      </c>
      <c r="S11" t="s">
        <v>433</v>
      </c>
      <c r="T11" t="s">
        <v>244</v>
      </c>
    </row>
    <row r="12" spans="1:24" x14ac:dyDescent="0.3">
      <c r="A12">
        <v>1</v>
      </c>
      <c r="B12" t="s">
        <v>43</v>
      </c>
      <c r="C12" s="1">
        <v>44236</v>
      </c>
      <c r="D12" s="2">
        <v>0.43541666666666662</v>
      </c>
      <c r="E12" t="s">
        <v>44</v>
      </c>
      <c r="F12" s="3" t="s">
        <v>372</v>
      </c>
      <c r="G12" t="s">
        <v>433</v>
      </c>
      <c r="H12" t="s">
        <v>433</v>
      </c>
      <c r="I12" t="s">
        <v>244</v>
      </c>
      <c r="L12">
        <v>2</v>
      </c>
      <c r="M12" t="s">
        <v>43</v>
      </c>
      <c r="N12" s="1">
        <v>44424</v>
      </c>
      <c r="O12" s="2">
        <v>0.58333333333333337</v>
      </c>
      <c r="P12" t="s">
        <v>44</v>
      </c>
      <c r="Q12" s="3" t="s">
        <v>373</v>
      </c>
      <c r="R12" t="s">
        <v>433</v>
      </c>
      <c r="S12" t="s">
        <v>433</v>
      </c>
      <c r="T12" t="s">
        <v>244</v>
      </c>
    </row>
    <row r="13" spans="1:24" x14ac:dyDescent="0.3">
      <c r="A13">
        <v>1</v>
      </c>
      <c r="B13" t="s">
        <v>45</v>
      </c>
      <c r="C13" s="1">
        <v>44236</v>
      </c>
      <c r="D13" s="2">
        <v>0.49652777777777773</v>
      </c>
      <c r="E13" t="s">
        <v>46</v>
      </c>
      <c r="F13" s="3" t="s">
        <v>372</v>
      </c>
      <c r="G13" t="s">
        <v>432</v>
      </c>
      <c r="H13" t="s">
        <v>432</v>
      </c>
      <c r="I13" t="s">
        <v>245</v>
      </c>
      <c r="L13">
        <v>2</v>
      </c>
      <c r="M13" t="s">
        <v>45</v>
      </c>
      <c r="N13" s="1">
        <v>44424</v>
      </c>
      <c r="O13" s="2">
        <v>0.63888888888888895</v>
      </c>
      <c r="P13" t="s">
        <v>46</v>
      </c>
      <c r="Q13" s="3" t="s">
        <v>372</v>
      </c>
      <c r="R13" t="s">
        <v>433</v>
      </c>
      <c r="S13" t="s">
        <v>433</v>
      </c>
      <c r="T13" t="s">
        <v>245</v>
      </c>
    </row>
    <row r="14" spans="1:24" x14ac:dyDescent="0.3">
      <c r="A14">
        <v>1</v>
      </c>
      <c r="B14" t="s">
        <v>48</v>
      </c>
      <c r="C14" s="1">
        <v>44236</v>
      </c>
      <c r="D14" s="2">
        <v>0.5805555555555556</v>
      </c>
      <c r="E14" t="s">
        <v>49</v>
      </c>
      <c r="F14" s="3" t="s">
        <v>373</v>
      </c>
      <c r="G14" t="s">
        <v>432</v>
      </c>
      <c r="H14" t="s">
        <v>432</v>
      </c>
      <c r="I14" t="s">
        <v>246</v>
      </c>
      <c r="L14">
        <v>2</v>
      </c>
      <c r="M14" t="s">
        <v>48</v>
      </c>
      <c r="N14" s="1">
        <v>44425</v>
      </c>
      <c r="O14" s="2">
        <v>0.67499999999999993</v>
      </c>
      <c r="P14" t="s">
        <v>49</v>
      </c>
      <c r="Q14" s="3" t="s">
        <v>372</v>
      </c>
      <c r="R14" t="s">
        <v>433</v>
      </c>
      <c r="S14" t="s">
        <v>433</v>
      </c>
      <c r="T14" t="s">
        <v>246</v>
      </c>
    </row>
    <row r="15" spans="1:24" x14ac:dyDescent="0.3">
      <c r="A15">
        <v>1</v>
      </c>
      <c r="B15" t="s">
        <v>51</v>
      </c>
      <c r="C15" s="1">
        <v>44236</v>
      </c>
      <c r="D15" s="2">
        <v>0.6430555555555556</v>
      </c>
      <c r="E15" t="s">
        <v>52</v>
      </c>
      <c r="F15" s="3" t="s">
        <v>373</v>
      </c>
      <c r="G15" t="s">
        <v>433</v>
      </c>
      <c r="H15" t="s">
        <v>433</v>
      </c>
      <c r="I15" t="s">
        <v>247</v>
      </c>
      <c r="L15">
        <v>2</v>
      </c>
      <c r="M15" t="s">
        <v>51</v>
      </c>
      <c r="N15" s="1">
        <v>44425</v>
      </c>
      <c r="O15" s="2">
        <v>0.43194444444444446</v>
      </c>
      <c r="P15" t="s">
        <v>52</v>
      </c>
      <c r="Q15" s="3" t="s">
        <v>373</v>
      </c>
      <c r="R15" t="s">
        <v>432</v>
      </c>
      <c r="S15" t="s">
        <v>432</v>
      </c>
      <c r="T15" t="s">
        <v>247</v>
      </c>
    </row>
    <row r="16" spans="1:24" x14ac:dyDescent="0.3">
      <c r="A16">
        <v>1</v>
      </c>
      <c r="B16" t="s">
        <v>53</v>
      </c>
      <c r="C16" s="1">
        <v>44237</v>
      </c>
      <c r="D16" s="2">
        <v>0.42569444444444443</v>
      </c>
      <c r="E16" t="s">
        <v>54</v>
      </c>
      <c r="F16" s="3" t="s">
        <v>372</v>
      </c>
      <c r="G16" t="s">
        <v>433</v>
      </c>
      <c r="H16" t="s">
        <v>433</v>
      </c>
      <c r="I16" t="s">
        <v>248</v>
      </c>
      <c r="L16">
        <v>2</v>
      </c>
      <c r="M16" t="s">
        <v>53</v>
      </c>
      <c r="N16" s="1">
        <v>44425</v>
      </c>
      <c r="O16" s="2">
        <v>0.61041666666666672</v>
      </c>
      <c r="P16" t="s">
        <v>54</v>
      </c>
      <c r="Q16" s="3" t="s">
        <v>373</v>
      </c>
      <c r="R16" t="s">
        <v>433</v>
      </c>
      <c r="S16" t="s">
        <v>433</v>
      </c>
      <c r="T16" t="s">
        <v>248</v>
      </c>
    </row>
    <row r="17" spans="1:24" x14ac:dyDescent="0.3">
      <c r="A17" s="10">
        <v>1</v>
      </c>
      <c r="B17" s="10" t="s">
        <v>55</v>
      </c>
      <c r="C17" s="23">
        <v>44237</v>
      </c>
      <c r="D17" s="24">
        <v>0.4826388888888889</v>
      </c>
      <c r="E17" s="10" t="s">
        <v>56</v>
      </c>
      <c r="F17" s="3" t="s">
        <v>372</v>
      </c>
      <c r="G17" t="s">
        <v>432</v>
      </c>
      <c r="H17" t="s">
        <v>432</v>
      </c>
      <c r="I17" s="10" t="s">
        <v>249</v>
      </c>
      <c r="K17" s="10"/>
      <c r="L17" s="10">
        <v>2</v>
      </c>
      <c r="M17" s="10" t="s">
        <v>55</v>
      </c>
      <c r="N17" s="23">
        <v>44425</v>
      </c>
      <c r="O17" s="24">
        <v>0.49722222222222223</v>
      </c>
      <c r="P17" s="10" t="s">
        <v>56</v>
      </c>
      <c r="Q17" s="3" t="s">
        <v>373</v>
      </c>
      <c r="R17" t="s">
        <v>433</v>
      </c>
      <c r="S17" t="s">
        <v>433</v>
      </c>
      <c r="T17" s="10" t="s">
        <v>249</v>
      </c>
    </row>
    <row r="18" spans="1:24" x14ac:dyDescent="0.3">
      <c r="A18" s="10">
        <v>1</v>
      </c>
      <c r="B18" s="10" t="s">
        <v>57</v>
      </c>
      <c r="C18" s="23">
        <v>44237</v>
      </c>
      <c r="D18" s="24">
        <v>0.55486111111111114</v>
      </c>
      <c r="E18" s="10" t="s">
        <v>58</v>
      </c>
      <c r="F18" s="3" t="s">
        <v>373</v>
      </c>
      <c r="G18" t="s">
        <v>432</v>
      </c>
      <c r="H18" t="s">
        <v>432</v>
      </c>
      <c r="I18" s="10" t="s">
        <v>250</v>
      </c>
      <c r="K18" s="10"/>
      <c r="L18" s="10">
        <v>2</v>
      </c>
      <c r="M18" s="10" t="s">
        <v>57</v>
      </c>
      <c r="N18" s="23">
        <v>44425</v>
      </c>
      <c r="O18" s="24">
        <v>0.54861111111111105</v>
      </c>
      <c r="P18" s="10" t="s">
        <v>58</v>
      </c>
      <c r="Q18" s="3" t="s">
        <v>373</v>
      </c>
      <c r="R18" t="s">
        <v>433</v>
      </c>
      <c r="S18" t="s">
        <v>433</v>
      </c>
      <c r="T18" s="10" t="s">
        <v>250</v>
      </c>
    </row>
    <row r="19" spans="1:24" x14ac:dyDescent="0.3">
      <c r="A19">
        <v>1</v>
      </c>
      <c r="B19" t="s">
        <v>59</v>
      </c>
      <c r="C19" s="1">
        <v>44237</v>
      </c>
      <c r="D19" s="2">
        <v>0.60763888888888895</v>
      </c>
      <c r="E19" t="s">
        <v>60</v>
      </c>
      <c r="F19" s="3" t="s">
        <v>373</v>
      </c>
      <c r="G19" t="s">
        <v>432</v>
      </c>
      <c r="H19" t="s">
        <v>432</v>
      </c>
      <c r="I19" t="s">
        <v>251</v>
      </c>
      <c r="L19">
        <v>2</v>
      </c>
      <c r="M19" t="s">
        <v>59</v>
      </c>
      <c r="N19" s="1">
        <v>44426</v>
      </c>
      <c r="O19" s="2">
        <v>0.67499999999999993</v>
      </c>
      <c r="P19" t="s">
        <v>60</v>
      </c>
      <c r="Q19" s="3" t="s">
        <v>372</v>
      </c>
      <c r="R19" t="s">
        <v>433</v>
      </c>
      <c r="S19" t="s">
        <v>433</v>
      </c>
      <c r="T19" t="s">
        <v>251</v>
      </c>
    </row>
    <row r="20" spans="1:24" x14ac:dyDescent="0.3">
      <c r="A20">
        <v>1</v>
      </c>
      <c r="B20" t="s">
        <v>61</v>
      </c>
      <c r="C20" s="1">
        <v>44237</v>
      </c>
      <c r="D20" s="2">
        <v>0.66180555555555554</v>
      </c>
      <c r="E20" t="s">
        <v>62</v>
      </c>
      <c r="F20" s="3" t="s">
        <v>373</v>
      </c>
      <c r="G20" t="s">
        <v>433</v>
      </c>
      <c r="H20" t="s">
        <v>433</v>
      </c>
      <c r="I20" t="s">
        <v>252</v>
      </c>
      <c r="L20">
        <v>2</v>
      </c>
      <c r="M20" t="s">
        <v>61</v>
      </c>
      <c r="N20" s="1">
        <v>44426</v>
      </c>
      <c r="O20" s="2">
        <v>0.625</v>
      </c>
      <c r="P20" t="s">
        <v>62</v>
      </c>
      <c r="Q20" s="3" t="s">
        <v>373</v>
      </c>
      <c r="R20" t="s">
        <v>433</v>
      </c>
      <c r="S20" t="s">
        <v>433</v>
      </c>
      <c r="T20" t="s">
        <v>252</v>
      </c>
    </row>
    <row r="21" spans="1:24" x14ac:dyDescent="0.3">
      <c r="A21">
        <v>1</v>
      </c>
      <c r="B21" t="s">
        <v>63</v>
      </c>
      <c r="C21" s="1">
        <v>44238</v>
      </c>
      <c r="D21" s="2">
        <v>0.43541666666666662</v>
      </c>
      <c r="E21" t="s">
        <v>64</v>
      </c>
      <c r="F21" s="3" t="s">
        <v>372</v>
      </c>
      <c r="G21" t="s">
        <v>434</v>
      </c>
      <c r="H21" t="s">
        <v>447</v>
      </c>
      <c r="I21" t="s">
        <v>252</v>
      </c>
      <c r="L21">
        <v>2</v>
      </c>
      <c r="M21" t="s">
        <v>63</v>
      </c>
      <c r="N21" s="1">
        <v>44426</v>
      </c>
      <c r="O21" s="2">
        <v>0.47986111111111113</v>
      </c>
      <c r="P21" t="s">
        <v>64</v>
      </c>
      <c r="Q21" s="3" t="s">
        <v>373</v>
      </c>
      <c r="R21" t="s">
        <v>432</v>
      </c>
      <c r="S21" t="s">
        <v>432</v>
      </c>
      <c r="T21" t="s">
        <v>252</v>
      </c>
    </row>
    <row r="22" spans="1:24" x14ac:dyDescent="0.3">
      <c r="A22">
        <v>1</v>
      </c>
      <c r="B22" t="s">
        <v>65</v>
      </c>
      <c r="C22" s="1">
        <v>44238</v>
      </c>
      <c r="D22" s="2">
        <v>0.67361111111111116</v>
      </c>
      <c r="E22" t="s">
        <v>66</v>
      </c>
      <c r="F22" s="3" t="s">
        <v>373</v>
      </c>
      <c r="G22" t="s">
        <v>433</v>
      </c>
      <c r="H22" t="s">
        <v>433</v>
      </c>
      <c r="I22" t="s">
        <v>253</v>
      </c>
      <c r="L22">
        <v>2</v>
      </c>
      <c r="M22" t="s">
        <v>65</v>
      </c>
      <c r="N22" s="1">
        <v>44426</v>
      </c>
      <c r="O22" s="2">
        <v>0.54999999999999993</v>
      </c>
      <c r="P22" t="s">
        <v>66</v>
      </c>
      <c r="Q22" s="3" t="s">
        <v>373</v>
      </c>
      <c r="R22" t="s">
        <v>433</v>
      </c>
      <c r="S22" t="s">
        <v>433</v>
      </c>
      <c r="T22" t="s">
        <v>253</v>
      </c>
    </row>
    <row r="23" spans="1:24" x14ac:dyDescent="0.3">
      <c r="A23">
        <v>1</v>
      </c>
      <c r="B23" t="s">
        <v>67</v>
      </c>
      <c r="C23" s="1">
        <v>44238</v>
      </c>
      <c r="D23" s="2">
        <v>0.5180555555555556</v>
      </c>
      <c r="E23" t="s">
        <v>68</v>
      </c>
      <c r="F23" s="3" t="s">
        <v>372</v>
      </c>
      <c r="G23" t="s">
        <v>432</v>
      </c>
      <c r="H23" t="s">
        <v>432</v>
      </c>
      <c r="I23" t="s">
        <v>253</v>
      </c>
      <c r="L23">
        <v>2</v>
      </c>
      <c r="M23" t="s">
        <v>67</v>
      </c>
      <c r="N23" s="1">
        <v>44426</v>
      </c>
      <c r="O23" s="2">
        <v>0.41388888888888892</v>
      </c>
      <c r="P23" t="s">
        <v>68</v>
      </c>
      <c r="Q23" s="3" t="s">
        <v>373</v>
      </c>
      <c r="R23" t="s">
        <v>432</v>
      </c>
      <c r="S23" t="s">
        <v>432</v>
      </c>
      <c r="T23" t="s">
        <v>253</v>
      </c>
    </row>
    <row r="24" spans="1:24" x14ac:dyDescent="0.3">
      <c r="A24">
        <v>1</v>
      </c>
      <c r="B24" t="s">
        <v>69</v>
      </c>
      <c r="C24" s="1">
        <v>44238</v>
      </c>
      <c r="D24" s="2">
        <v>0.5625</v>
      </c>
      <c r="E24" t="s">
        <v>70</v>
      </c>
      <c r="F24" s="3" t="s">
        <v>373</v>
      </c>
      <c r="G24" t="s">
        <v>432</v>
      </c>
      <c r="H24" t="s">
        <v>432</v>
      </c>
      <c r="I24" t="s">
        <v>253</v>
      </c>
      <c r="L24">
        <v>2</v>
      </c>
      <c r="M24" t="s">
        <v>69</v>
      </c>
      <c r="N24" s="1">
        <v>44427</v>
      </c>
      <c r="O24" s="2">
        <v>0.70347222222222217</v>
      </c>
      <c r="P24" t="s">
        <v>70</v>
      </c>
      <c r="Q24" s="3" t="s">
        <v>372</v>
      </c>
      <c r="R24" t="s">
        <v>433</v>
      </c>
      <c r="S24" t="s">
        <v>433</v>
      </c>
      <c r="T24" t="s">
        <v>253</v>
      </c>
    </row>
    <row r="25" spans="1:24" s="10" customFormat="1" x14ac:dyDescent="0.3">
      <c r="A25" s="10">
        <v>1</v>
      </c>
      <c r="B25" s="10" t="s">
        <v>104</v>
      </c>
      <c r="C25" s="23">
        <v>44238</v>
      </c>
      <c r="D25" s="24">
        <v>0.61805555555555558</v>
      </c>
      <c r="E25" s="10" t="s">
        <v>71</v>
      </c>
      <c r="F25" s="3" t="s">
        <v>373</v>
      </c>
      <c r="G25" s="10" t="s">
        <v>432</v>
      </c>
      <c r="H25" s="10" t="s">
        <v>432</v>
      </c>
      <c r="I25" s="10" t="s">
        <v>253</v>
      </c>
      <c r="J25"/>
      <c r="L25" s="10">
        <v>2</v>
      </c>
      <c r="M25" s="10" t="s">
        <v>104</v>
      </c>
      <c r="N25" s="23">
        <v>44427</v>
      </c>
      <c r="O25" s="24">
        <v>0.6333333333333333</v>
      </c>
      <c r="P25" s="10" t="s">
        <v>71</v>
      </c>
      <c r="Q25" s="3" t="s">
        <v>373</v>
      </c>
      <c r="R25" s="10" t="s">
        <v>433</v>
      </c>
      <c r="S25" s="10" t="s">
        <v>433</v>
      </c>
      <c r="T25" s="10" t="s">
        <v>253</v>
      </c>
      <c r="X25"/>
    </row>
    <row r="26" spans="1:24" x14ac:dyDescent="0.3">
      <c r="A26">
        <v>1</v>
      </c>
      <c r="B26" t="s">
        <v>72</v>
      </c>
      <c r="C26" s="1">
        <v>44239</v>
      </c>
      <c r="D26" s="2">
        <v>0.64930555555555558</v>
      </c>
      <c r="E26" t="s">
        <v>73</v>
      </c>
      <c r="F26" s="3" t="s">
        <v>373</v>
      </c>
      <c r="G26" s="10" t="s">
        <v>432</v>
      </c>
      <c r="H26" s="10" t="s">
        <v>432</v>
      </c>
      <c r="I26" t="s">
        <v>254</v>
      </c>
      <c r="L26">
        <v>2</v>
      </c>
      <c r="M26" t="s">
        <v>72</v>
      </c>
      <c r="N26" s="1">
        <v>44427</v>
      </c>
      <c r="O26" s="2">
        <v>0.49027777777777781</v>
      </c>
      <c r="P26" t="s">
        <v>73</v>
      </c>
      <c r="Q26" s="3" t="s">
        <v>373</v>
      </c>
      <c r="R26" s="10" t="s">
        <v>432</v>
      </c>
      <c r="S26" s="10" t="s">
        <v>432</v>
      </c>
      <c r="T26" t="s">
        <v>254</v>
      </c>
    </row>
    <row r="27" spans="1:24" x14ac:dyDescent="0.3">
      <c r="A27">
        <v>1</v>
      </c>
      <c r="B27" t="s">
        <v>74</v>
      </c>
      <c r="C27" s="1">
        <v>44239</v>
      </c>
      <c r="D27" s="2">
        <v>0.46319444444444446</v>
      </c>
      <c r="E27" t="s">
        <v>75</v>
      </c>
      <c r="F27" s="3" t="s">
        <v>372</v>
      </c>
      <c r="G27" t="s">
        <v>434</v>
      </c>
      <c r="H27" t="s">
        <v>447</v>
      </c>
      <c r="I27" t="s">
        <v>254</v>
      </c>
      <c r="L27">
        <v>2</v>
      </c>
      <c r="M27" t="s">
        <v>74</v>
      </c>
      <c r="N27" s="1">
        <v>44427</v>
      </c>
      <c r="O27" s="2">
        <v>0.54583333333333328</v>
      </c>
      <c r="P27" t="s">
        <v>75</v>
      </c>
      <c r="Q27" s="3" t="s">
        <v>373</v>
      </c>
      <c r="R27" s="10" t="s">
        <v>435</v>
      </c>
      <c r="S27" s="10" t="s">
        <v>447</v>
      </c>
      <c r="T27" t="s">
        <v>254</v>
      </c>
    </row>
    <row r="28" spans="1:24" x14ac:dyDescent="0.3">
      <c r="A28">
        <v>1</v>
      </c>
      <c r="B28" t="s">
        <v>80</v>
      </c>
      <c r="C28" s="25">
        <v>44267</v>
      </c>
      <c r="D28" s="26">
        <v>0.45555555555555555</v>
      </c>
      <c r="E28" s="3" t="s">
        <v>77</v>
      </c>
      <c r="F28" s="3" t="s">
        <v>372</v>
      </c>
      <c r="G28" t="s">
        <v>432</v>
      </c>
      <c r="H28" t="s">
        <v>432</v>
      </c>
      <c r="I28" t="s">
        <v>255</v>
      </c>
      <c r="L28">
        <v>2</v>
      </c>
      <c r="M28" s="3" t="s">
        <v>80</v>
      </c>
      <c r="N28" s="25">
        <v>44454</v>
      </c>
      <c r="O28" s="26">
        <v>0.45833333333333331</v>
      </c>
      <c r="P28" s="3" t="s">
        <v>77</v>
      </c>
      <c r="Q28" s="3" t="s">
        <v>373</v>
      </c>
      <c r="R28" s="3" t="s">
        <v>433</v>
      </c>
      <c r="S28" s="3" t="s">
        <v>433</v>
      </c>
      <c r="T28" t="s">
        <v>255</v>
      </c>
    </row>
    <row r="29" spans="1:24" x14ac:dyDescent="0.3">
      <c r="A29">
        <v>1</v>
      </c>
      <c r="B29" t="s">
        <v>78</v>
      </c>
      <c r="C29" s="25">
        <v>44267</v>
      </c>
      <c r="D29" s="26">
        <v>0.48958333333333331</v>
      </c>
      <c r="E29" s="3" t="s">
        <v>79</v>
      </c>
      <c r="F29" s="3" t="s">
        <v>372</v>
      </c>
      <c r="G29" t="s">
        <v>432</v>
      </c>
      <c r="H29" t="s">
        <v>432</v>
      </c>
      <c r="I29" t="s">
        <v>255</v>
      </c>
      <c r="L29">
        <v>2</v>
      </c>
      <c r="M29" s="3" t="s">
        <v>78</v>
      </c>
      <c r="N29" s="25">
        <v>44454</v>
      </c>
      <c r="O29" s="26">
        <v>0.41666666666666669</v>
      </c>
      <c r="P29" s="3" t="s">
        <v>79</v>
      </c>
      <c r="Q29" s="3" t="s">
        <v>373</v>
      </c>
      <c r="R29" s="3" t="s">
        <v>435</v>
      </c>
      <c r="S29" s="3" t="s">
        <v>447</v>
      </c>
      <c r="T29" t="s">
        <v>255</v>
      </c>
    </row>
    <row r="30" spans="1:24" x14ac:dyDescent="0.3">
      <c r="A30">
        <v>1</v>
      </c>
      <c r="B30" t="s">
        <v>76</v>
      </c>
      <c r="C30" s="25">
        <v>44239</v>
      </c>
      <c r="D30" s="26">
        <v>0.54305555555555551</v>
      </c>
      <c r="E30" s="3" t="s">
        <v>81</v>
      </c>
      <c r="F30" s="3" t="s">
        <v>372</v>
      </c>
      <c r="G30" t="s">
        <v>432</v>
      </c>
      <c r="H30" t="s">
        <v>432</v>
      </c>
      <c r="I30" t="s">
        <v>255</v>
      </c>
      <c r="L30">
        <v>2</v>
      </c>
      <c r="M30" s="3" t="s">
        <v>76</v>
      </c>
      <c r="N30" s="25">
        <v>44427</v>
      </c>
      <c r="O30" s="26">
        <v>0.41319444444444442</v>
      </c>
      <c r="P30" s="3" t="s">
        <v>81</v>
      </c>
      <c r="Q30" s="3" t="s">
        <v>373</v>
      </c>
      <c r="R30" s="3" t="s">
        <v>432</v>
      </c>
      <c r="S30" s="3" t="s">
        <v>432</v>
      </c>
      <c r="T30" t="s">
        <v>255</v>
      </c>
    </row>
    <row r="31" spans="1:24" x14ac:dyDescent="0.3">
      <c r="A31">
        <v>1</v>
      </c>
      <c r="B31" t="s">
        <v>82</v>
      </c>
      <c r="C31" s="25">
        <v>44267</v>
      </c>
      <c r="D31" s="26">
        <v>0.53402777777777777</v>
      </c>
      <c r="E31" s="3" t="s">
        <v>83</v>
      </c>
      <c r="F31" s="3" t="s">
        <v>373</v>
      </c>
      <c r="G31" t="s">
        <v>432</v>
      </c>
      <c r="H31" t="s">
        <v>432</v>
      </c>
      <c r="I31" t="s">
        <v>255</v>
      </c>
      <c r="L31">
        <v>2</v>
      </c>
      <c r="M31" s="3" t="s">
        <v>82</v>
      </c>
      <c r="N31" s="25">
        <v>44434</v>
      </c>
      <c r="O31" s="26">
        <v>0.48541666666666666</v>
      </c>
      <c r="P31" s="3" t="s">
        <v>83</v>
      </c>
      <c r="Q31" s="3" t="s">
        <v>372</v>
      </c>
      <c r="R31" s="3" t="s">
        <v>433</v>
      </c>
      <c r="S31" s="3" t="s">
        <v>433</v>
      </c>
      <c r="T31" t="s">
        <v>374</v>
      </c>
    </row>
    <row r="32" spans="1:24" x14ac:dyDescent="0.3">
      <c r="C32" s="1"/>
      <c r="D32" s="2"/>
      <c r="N32" s="1"/>
      <c r="O32" s="2"/>
    </row>
    <row r="33" spans="1:18" x14ac:dyDescent="0.3">
      <c r="C33" s="1"/>
      <c r="D33" s="4" t="s">
        <v>242</v>
      </c>
      <c r="N33" s="1"/>
      <c r="O33" s="2"/>
    </row>
    <row r="34" spans="1:18" x14ac:dyDescent="0.3">
      <c r="D34" s="5" t="s">
        <v>256</v>
      </c>
    </row>
    <row r="35" spans="1:18" x14ac:dyDescent="0.3">
      <c r="D35" s="5"/>
    </row>
    <row r="36" spans="1:18" x14ac:dyDescent="0.3">
      <c r="A36" t="s">
        <v>102</v>
      </c>
      <c r="B36" t="s">
        <v>1</v>
      </c>
      <c r="C36" t="s">
        <v>2</v>
      </c>
      <c r="D36" t="s">
        <v>3</v>
      </c>
      <c r="E36" t="s">
        <v>4</v>
      </c>
      <c r="F36" t="s">
        <v>371</v>
      </c>
      <c r="G36" t="s">
        <v>243</v>
      </c>
      <c r="L36" t="s">
        <v>102</v>
      </c>
      <c r="M36" t="s">
        <v>1</v>
      </c>
      <c r="N36" t="s">
        <v>2</v>
      </c>
      <c r="O36" t="s">
        <v>3</v>
      </c>
      <c r="P36" t="s">
        <v>4</v>
      </c>
      <c r="Q36" t="s">
        <v>371</v>
      </c>
      <c r="R36" t="s">
        <v>243</v>
      </c>
    </row>
    <row r="37" spans="1:18" x14ac:dyDescent="0.3">
      <c r="A37">
        <v>1</v>
      </c>
      <c r="B37" t="s">
        <v>84</v>
      </c>
      <c r="C37" s="25">
        <v>44267</v>
      </c>
      <c r="D37" s="26">
        <v>0.58750000000000002</v>
      </c>
      <c r="E37" s="3" t="s">
        <v>85</v>
      </c>
      <c r="F37" s="3" t="s">
        <v>373</v>
      </c>
      <c r="G37" s="3" t="s">
        <v>374</v>
      </c>
      <c r="L37">
        <v>2</v>
      </c>
      <c r="M37" s="3" t="s">
        <v>84</v>
      </c>
      <c r="N37" s="25">
        <v>44434</v>
      </c>
      <c r="O37" s="26">
        <v>0.43541666666666662</v>
      </c>
      <c r="P37" s="3" t="s">
        <v>85</v>
      </c>
      <c r="Q37" s="3" t="s">
        <v>372</v>
      </c>
      <c r="R37" s="3" t="s">
        <v>374</v>
      </c>
    </row>
    <row r="38" spans="1:18" x14ac:dyDescent="0.3">
      <c r="A38">
        <v>1</v>
      </c>
      <c r="B38" t="s">
        <v>86</v>
      </c>
      <c r="C38" s="25">
        <v>44267</v>
      </c>
      <c r="D38" s="26">
        <v>0.6333333333333333</v>
      </c>
      <c r="E38" s="3" t="s">
        <v>87</v>
      </c>
      <c r="F38" s="3" t="s">
        <v>373</v>
      </c>
      <c r="G38" s="3" t="s">
        <v>375</v>
      </c>
      <c r="L38">
        <v>2</v>
      </c>
      <c r="M38" s="3" t="s">
        <v>86</v>
      </c>
      <c r="N38" s="25">
        <v>44433</v>
      </c>
      <c r="O38" s="26">
        <v>0.64236111111111105</v>
      </c>
      <c r="P38" s="3" t="s">
        <v>87</v>
      </c>
      <c r="Q38" s="3" t="s">
        <v>373</v>
      </c>
      <c r="R38" s="3" t="s">
        <v>375</v>
      </c>
    </row>
    <row r="39" spans="1:18" x14ac:dyDescent="0.3">
      <c r="A39">
        <v>1</v>
      </c>
      <c r="B39" t="s">
        <v>88</v>
      </c>
      <c r="C39" s="25">
        <v>44265</v>
      </c>
      <c r="D39" s="26">
        <v>0.6430555555555556</v>
      </c>
      <c r="E39" s="3" t="s">
        <v>89</v>
      </c>
      <c r="F39" s="3" t="s">
        <v>373</v>
      </c>
      <c r="G39" s="3" t="s">
        <v>376</v>
      </c>
      <c r="L39">
        <v>2</v>
      </c>
      <c r="M39" s="3" t="s">
        <v>88</v>
      </c>
      <c r="N39" s="25">
        <v>44433</v>
      </c>
      <c r="O39" s="26">
        <v>0.59444444444444444</v>
      </c>
      <c r="P39" s="3" t="s">
        <v>89</v>
      </c>
      <c r="Q39" s="3" t="s">
        <v>373</v>
      </c>
      <c r="R39" s="3" t="s">
        <v>376</v>
      </c>
    </row>
    <row r="40" spans="1:18" x14ac:dyDescent="0.3">
      <c r="A40">
        <v>1</v>
      </c>
      <c r="B40" t="s">
        <v>90</v>
      </c>
      <c r="C40" s="25">
        <v>44265</v>
      </c>
      <c r="D40" s="26">
        <v>0.58611111111111114</v>
      </c>
      <c r="E40" s="3" t="s">
        <v>91</v>
      </c>
      <c r="F40" s="3" t="s">
        <v>373</v>
      </c>
      <c r="G40" s="3" t="s">
        <v>376</v>
      </c>
      <c r="L40">
        <v>2</v>
      </c>
      <c r="M40" s="3" t="s">
        <v>90</v>
      </c>
      <c r="N40" s="25">
        <v>44433</v>
      </c>
      <c r="O40" s="26">
        <v>0.55208333333333337</v>
      </c>
      <c r="P40" s="3" t="s">
        <v>91</v>
      </c>
      <c r="Q40" s="3" t="s">
        <v>372</v>
      </c>
      <c r="R40" s="3" t="s">
        <v>376</v>
      </c>
    </row>
    <row r="41" spans="1:18" x14ac:dyDescent="0.3">
      <c r="A41">
        <v>1</v>
      </c>
      <c r="B41" t="s">
        <v>105</v>
      </c>
      <c r="C41" s="25">
        <v>44242</v>
      </c>
      <c r="D41" s="26">
        <v>0.54027777777777775</v>
      </c>
      <c r="E41" s="3" t="s">
        <v>92</v>
      </c>
      <c r="F41" s="3" t="s">
        <v>372</v>
      </c>
      <c r="G41" s="3" t="s">
        <v>260</v>
      </c>
      <c r="L41">
        <v>2</v>
      </c>
      <c r="M41" s="3" t="s">
        <v>105</v>
      </c>
      <c r="N41" s="25">
        <v>44428</v>
      </c>
      <c r="O41" s="26">
        <v>0.51250000000000007</v>
      </c>
      <c r="P41" s="3" t="s">
        <v>92</v>
      </c>
      <c r="Q41" s="3" t="s">
        <v>373</v>
      </c>
      <c r="R41" s="3" t="s">
        <v>260</v>
      </c>
    </row>
    <row r="42" spans="1:18" x14ac:dyDescent="0.3">
      <c r="A42">
        <v>1</v>
      </c>
      <c r="B42" t="s">
        <v>93</v>
      </c>
      <c r="C42" s="25">
        <v>44265</v>
      </c>
      <c r="D42" s="26">
        <v>0.42222222222222222</v>
      </c>
      <c r="E42" s="3" t="s">
        <v>94</v>
      </c>
      <c r="F42" s="3" t="s">
        <v>372</v>
      </c>
      <c r="G42" s="3" t="s">
        <v>260</v>
      </c>
      <c r="L42">
        <v>2</v>
      </c>
      <c r="M42" s="3" t="s">
        <v>93</v>
      </c>
      <c r="N42" s="25">
        <v>44433</v>
      </c>
      <c r="O42" s="26">
        <v>0.48680555555555555</v>
      </c>
      <c r="P42" s="3" t="s">
        <v>94</v>
      </c>
      <c r="Q42" s="3" t="s">
        <v>372</v>
      </c>
      <c r="R42" s="3" t="s">
        <v>377</v>
      </c>
    </row>
    <row r="43" spans="1:18" x14ac:dyDescent="0.3">
      <c r="A43">
        <v>1</v>
      </c>
      <c r="B43" t="s">
        <v>95</v>
      </c>
      <c r="C43" s="25">
        <v>44265</v>
      </c>
      <c r="D43" s="26">
        <v>0.46319444444444446</v>
      </c>
      <c r="E43" s="3" t="s">
        <v>96</v>
      </c>
      <c r="F43" s="3" t="s">
        <v>373</v>
      </c>
      <c r="G43" s="3" t="s">
        <v>377</v>
      </c>
      <c r="L43">
        <v>2</v>
      </c>
      <c r="M43" s="3" t="s">
        <v>95</v>
      </c>
      <c r="N43" s="25">
        <v>44433</v>
      </c>
      <c r="O43" s="26">
        <v>0.39861111111111108</v>
      </c>
      <c r="P43" s="3" t="s">
        <v>96</v>
      </c>
      <c r="Q43" s="3" t="s">
        <v>372</v>
      </c>
      <c r="R43" s="3" t="s">
        <v>377</v>
      </c>
    </row>
    <row r="44" spans="1:18" x14ac:dyDescent="0.3">
      <c r="A44">
        <v>1</v>
      </c>
      <c r="B44" t="s">
        <v>115</v>
      </c>
      <c r="C44" s="25">
        <v>44265</v>
      </c>
      <c r="D44" s="26">
        <v>0.50138888888888888</v>
      </c>
      <c r="E44" s="3" t="s">
        <v>97</v>
      </c>
      <c r="F44" s="3" t="s">
        <v>373</v>
      </c>
      <c r="G44" s="3" t="s">
        <v>98</v>
      </c>
      <c r="L44">
        <v>2</v>
      </c>
      <c r="M44" s="3" t="s">
        <v>115</v>
      </c>
      <c r="N44" s="25">
        <v>44433</v>
      </c>
      <c r="O44" s="26">
        <v>0.4375</v>
      </c>
      <c r="P44" s="3" t="s">
        <v>97</v>
      </c>
      <c r="Q44" s="3" t="s">
        <v>372</v>
      </c>
      <c r="R44" s="3" t="s">
        <v>98</v>
      </c>
    </row>
    <row r="45" spans="1:18" x14ac:dyDescent="0.3">
      <c r="A45">
        <v>1</v>
      </c>
      <c r="B45" t="s">
        <v>98</v>
      </c>
      <c r="C45" s="25">
        <v>44242</v>
      </c>
      <c r="D45" s="26">
        <v>0.46111111111111108</v>
      </c>
      <c r="E45" s="3" t="s">
        <v>99</v>
      </c>
      <c r="F45" s="3" t="s">
        <v>372</v>
      </c>
      <c r="G45" s="3" t="s">
        <v>259</v>
      </c>
      <c r="L45">
        <v>2</v>
      </c>
      <c r="M45" s="3" t="s">
        <v>98</v>
      </c>
      <c r="N45" s="25">
        <v>44428</v>
      </c>
      <c r="O45" s="26">
        <v>0.4291666666666667</v>
      </c>
      <c r="P45" s="3" t="s">
        <v>99</v>
      </c>
      <c r="Q45" s="3" t="s">
        <v>373</v>
      </c>
      <c r="R45" s="3" t="s">
        <v>259</v>
      </c>
    </row>
  </sheetData>
  <pageMargins left="0.7" right="0.7" top="0.75" bottom="0.75" header="0.3" footer="0.3"/>
  <pageSetup paperSize="9" orientation="portrait" horizontalDpi="200" verticalDpi="0" copies="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L81"/>
  <sheetViews>
    <sheetView zoomScale="60" zoomScaleNormal="60" workbookViewId="0">
      <selection activeCell="P29" sqref="P29"/>
    </sheetView>
  </sheetViews>
  <sheetFormatPr defaultRowHeight="14.4" x14ac:dyDescent="0.3"/>
  <cols>
    <col min="4" max="4" width="13" customWidth="1"/>
    <col min="6" max="6" width="23.109375" customWidth="1"/>
    <col min="7" max="7" width="19.44140625" customWidth="1"/>
    <col min="8" max="8" width="17.33203125" customWidth="1"/>
    <col min="9" max="9" width="20.33203125" customWidth="1"/>
    <col min="10" max="10" width="22.33203125" customWidth="1"/>
    <col min="11" max="11" width="19.6640625" customWidth="1"/>
    <col min="12" max="12" width="16.6640625" customWidth="1"/>
    <col min="13" max="13" width="21.21875" customWidth="1"/>
    <col min="14" max="14" width="21" customWidth="1"/>
    <col min="15" max="15" width="10.88671875" customWidth="1"/>
    <col min="16" max="16" width="6.88671875" style="4" customWidth="1"/>
    <col min="18" max="18" width="8.77734375" style="4" customWidth="1"/>
    <col min="19" max="19" width="12.109375" customWidth="1"/>
    <col min="20" max="20" width="8.88671875" style="4"/>
    <col min="21" max="21" width="15.109375" customWidth="1"/>
    <col min="22" max="22" width="8.77734375" style="4" customWidth="1"/>
    <col min="23" max="23" width="19.33203125" customWidth="1"/>
    <col min="24" max="24" width="9.88671875" style="4" customWidth="1"/>
    <col min="25" max="25" width="13.88671875" customWidth="1"/>
    <col min="26" max="26" width="10.109375" style="4" customWidth="1"/>
    <col min="27" max="27" width="13.109375" customWidth="1"/>
    <col min="28" max="28" width="8" style="4" customWidth="1"/>
    <col min="29" max="29" width="12.44140625" customWidth="1"/>
    <col min="30" max="30" width="8.88671875" style="4"/>
    <col min="32" max="32" width="8.88671875" style="4"/>
    <col min="34" max="34" width="8.88671875" style="4"/>
    <col min="36" max="36" width="8.88671875" style="4"/>
    <col min="38" max="38" width="8.88671875" style="4"/>
  </cols>
  <sheetData>
    <row r="2" spans="5:8" x14ac:dyDescent="0.3">
      <c r="E2" t="s">
        <v>397</v>
      </c>
    </row>
    <row r="3" spans="5:8" x14ac:dyDescent="0.3">
      <c r="E3" t="s">
        <v>398</v>
      </c>
    </row>
    <row r="4" spans="5:8" x14ac:dyDescent="0.3">
      <c r="E4" s="27" t="s">
        <v>399</v>
      </c>
    </row>
    <row r="10" spans="5:8" x14ac:dyDescent="0.3">
      <c r="H10" t="s">
        <v>400</v>
      </c>
    </row>
    <row r="13" spans="5:8" x14ac:dyDescent="0.3">
      <c r="H13" s="28" t="s">
        <v>401</v>
      </c>
    </row>
    <row r="15" spans="5:8" x14ac:dyDescent="0.3">
      <c r="H15" t="s">
        <v>402</v>
      </c>
    </row>
    <row r="23" spans="1:38" x14ac:dyDescent="0.3">
      <c r="H23" t="s">
        <v>407</v>
      </c>
    </row>
    <row r="26" spans="1:38" x14ac:dyDescent="0.3">
      <c r="F26" s="38" t="s">
        <v>412</v>
      </c>
      <c r="G26" s="38"/>
      <c r="H26" s="38"/>
      <c r="I26" s="38"/>
      <c r="J26" s="38"/>
      <c r="K26" s="38"/>
      <c r="L26" s="38"/>
      <c r="M26" s="38"/>
    </row>
    <row r="27" spans="1:38" x14ac:dyDescent="0.3">
      <c r="E27" s="3"/>
      <c r="F27" s="58" t="s">
        <v>410</v>
      </c>
      <c r="G27" s="58"/>
      <c r="H27" s="58"/>
      <c r="I27" s="58"/>
      <c r="J27" s="58" t="s">
        <v>411</v>
      </c>
      <c r="K27" s="58"/>
      <c r="L27" s="58"/>
      <c r="M27" s="58"/>
    </row>
    <row r="28" spans="1:38" x14ac:dyDescent="0.3">
      <c r="A28" t="s">
        <v>102</v>
      </c>
      <c r="B28" t="s">
        <v>1</v>
      </c>
      <c r="C28" t="s">
        <v>4</v>
      </c>
      <c r="D28" t="s">
        <v>403</v>
      </c>
      <c r="E28" s="3" t="s">
        <v>404</v>
      </c>
      <c r="F28" s="3" t="s">
        <v>408</v>
      </c>
      <c r="G28" s="3" t="s">
        <v>409</v>
      </c>
      <c r="H28" s="3" t="s">
        <v>406</v>
      </c>
      <c r="I28" s="3" t="s">
        <v>405</v>
      </c>
      <c r="J28" s="3" t="s">
        <v>408</v>
      </c>
      <c r="K28" s="3" t="s">
        <v>409</v>
      </c>
      <c r="L28" s="3" t="s">
        <v>406</v>
      </c>
      <c r="M28" s="3" t="s">
        <v>405</v>
      </c>
      <c r="N28" t="s">
        <v>446</v>
      </c>
      <c r="O28" t="s">
        <v>448</v>
      </c>
      <c r="P28" s="4" t="s">
        <v>462</v>
      </c>
      <c r="Q28" t="s">
        <v>451</v>
      </c>
      <c r="R28" s="4" t="s">
        <v>463</v>
      </c>
      <c r="S28" t="s">
        <v>453</v>
      </c>
      <c r="T28" s="4" t="s">
        <v>464</v>
      </c>
      <c r="U28" t="s">
        <v>452</v>
      </c>
      <c r="V28" s="4" t="s">
        <v>465</v>
      </c>
      <c r="W28" t="s">
        <v>454</v>
      </c>
      <c r="X28" s="4" t="s">
        <v>466</v>
      </c>
      <c r="Y28" t="s">
        <v>455</v>
      </c>
      <c r="Z28" s="4" t="s">
        <v>467</v>
      </c>
      <c r="AA28" t="s">
        <v>456</v>
      </c>
      <c r="AB28" s="4" t="s">
        <v>468</v>
      </c>
      <c r="AC28" t="s">
        <v>457</v>
      </c>
      <c r="AD28" s="4" t="s">
        <v>469</v>
      </c>
      <c r="AE28" t="s">
        <v>458</v>
      </c>
      <c r="AF28" s="4" t="s">
        <v>470</v>
      </c>
      <c r="AG28" t="s">
        <v>459</v>
      </c>
      <c r="AH28" s="4" t="s">
        <v>471</v>
      </c>
      <c r="AI28" t="s">
        <v>460</v>
      </c>
      <c r="AJ28" s="4" t="s">
        <v>472</v>
      </c>
      <c r="AK28" t="s">
        <v>461</v>
      </c>
      <c r="AL28" s="4" t="s">
        <v>473</v>
      </c>
    </row>
    <row r="29" spans="1:38" x14ac:dyDescent="0.3">
      <c r="A29">
        <v>1</v>
      </c>
      <c r="B29" t="s">
        <v>103</v>
      </c>
      <c r="C29" t="s">
        <v>33</v>
      </c>
      <c r="D29" s="29">
        <v>51.004277929390099</v>
      </c>
      <c r="E29" s="9">
        <v>3.805355219</v>
      </c>
      <c r="F29" s="3">
        <v>6200</v>
      </c>
      <c r="G29" s="3">
        <v>3333.37</v>
      </c>
      <c r="H29" s="3">
        <v>13.99</v>
      </c>
      <c r="I29" s="3">
        <v>284.87</v>
      </c>
      <c r="J29" s="32">
        <v>5400</v>
      </c>
      <c r="K29" s="32">
        <v>1500</v>
      </c>
      <c r="L29" s="32">
        <v>164.42</v>
      </c>
      <c r="M29" s="32">
        <v>177.6</v>
      </c>
      <c r="N29" t="s">
        <v>432</v>
      </c>
      <c r="O29">
        <f>MIN(F29:M29)</f>
        <v>13.99</v>
      </c>
      <c r="P29" s="4" t="s">
        <v>449</v>
      </c>
      <c r="Q29">
        <f>MIN(F29:G29,I29:K29,M29)</f>
        <v>177.6</v>
      </c>
      <c r="R29" s="4" t="s">
        <v>449</v>
      </c>
      <c r="S29">
        <f>MIN(F29:H29,J29:L29)</f>
        <v>13.99</v>
      </c>
      <c r="T29" s="4" t="s">
        <v>449</v>
      </c>
      <c r="U29">
        <f t="shared" ref="U29:U51" si="0">MIN(F29:G29,J29:K29)</f>
        <v>1500</v>
      </c>
      <c r="V29" s="4" t="s">
        <v>449</v>
      </c>
      <c r="W29">
        <f>MIN(J29:M29)</f>
        <v>164.42</v>
      </c>
      <c r="X29" s="4" t="s">
        <v>449</v>
      </c>
      <c r="Y29">
        <f>MIN(J29:K29,M29)</f>
        <v>177.6</v>
      </c>
      <c r="Z29" s="4" t="s">
        <v>449</v>
      </c>
      <c r="AA29">
        <f>MIN(J29:L29)</f>
        <v>164.42</v>
      </c>
      <c r="AB29" s="4" t="s">
        <v>449</v>
      </c>
      <c r="AC29">
        <f>MIN(J29:K29)</f>
        <v>1500</v>
      </c>
      <c r="AD29" s="4" t="s">
        <v>449</v>
      </c>
      <c r="AE29">
        <f>MIN(F29:M29)</f>
        <v>13.99</v>
      </c>
      <c r="AF29" s="4" t="s">
        <v>449</v>
      </c>
      <c r="AG29">
        <f>MIN(F29:G29,I29:K29,M29)</f>
        <v>177.6</v>
      </c>
      <c r="AH29" s="4" t="s">
        <v>449</v>
      </c>
      <c r="AI29">
        <f>MIN(F29:H29,J29:L29)</f>
        <v>13.99</v>
      </c>
      <c r="AJ29" s="4" t="s">
        <v>449</v>
      </c>
      <c r="AK29">
        <f>MIN(F29:G29,J29:K29)</f>
        <v>1500</v>
      </c>
      <c r="AL29" s="4" t="s">
        <v>449</v>
      </c>
    </row>
    <row r="30" spans="1:38" x14ac:dyDescent="0.3">
      <c r="A30">
        <v>1</v>
      </c>
      <c r="B30" t="s">
        <v>37</v>
      </c>
      <c r="C30" t="s">
        <v>38</v>
      </c>
      <c r="D30" s="30">
        <v>51.0081621411219</v>
      </c>
      <c r="E30" s="3">
        <v>3.87967905</v>
      </c>
      <c r="F30" s="3">
        <v>753.27</v>
      </c>
      <c r="G30" s="3">
        <v>5000</v>
      </c>
      <c r="H30" s="3">
        <v>2200</v>
      </c>
      <c r="I30" s="3">
        <v>829.29</v>
      </c>
      <c r="J30" s="32">
        <v>695.1</v>
      </c>
      <c r="K30" s="32">
        <v>13100</v>
      </c>
      <c r="L30" s="32">
        <v>466.56</v>
      </c>
      <c r="M30" s="32">
        <v>398.41</v>
      </c>
      <c r="N30" t="s">
        <v>432</v>
      </c>
      <c r="O30">
        <f t="shared" ref="O30:O51" si="1">MIN(F30:M30)</f>
        <v>398.41</v>
      </c>
      <c r="P30" s="4" t="s">
        <v>449</v>
      </c>
      <c r="Q30">
        <f t="shared" ref="Q30:Q78" si="2">MIN(F30:G30,I30:K30,M30)</f>
        <v>398.41</v>
      </c>
      <c r="R30" s="4" t="s">
        <v>449</v>
      </c>
      <c r="S30">
        <f t="shared" ref="S30:S78" si="3">MIN(F30:H30,J30:L30)</f>
        <v>466.56</v>
      </c>
      <c r="T30" s="4" t="s">
        <v>449</v>
      </c>
      <c r="U30">
        <f t="shared" si="0"/>
        <v>695.1</v>
      </c>
      <c r="V30" s="4" t="s">
        <v>449</v>
      </c>
      <c r="W30">
        <f>MIN(J30:M30)</f>
        <v>398.41</v>
      </c>
      <c r="X30" s="4" t="s">
        <v>449</v>
      </c>
      <c r="Y30">
        <f>MIN(J30:K30,M30)</f>
        <v>398.41</v>
      </c>
      <c r="Z30" s="4" t="s">
        <v>449</v>
      </c>
      <c r="AA30">
        <f>MIN(J30:L30)</f>
        <v>466.56</v>
      </c>
      <c r="AB30" s="4" t="s">
        <v>449</v>
      </c>
      <c r="AC30">
        <f>MIN(J30:K30)</f>
        <v>695.1</v>
      </c>
      <c r="AD30" s="4" t="s">
        <v>449</v>
      </c>
      <c r="AE30">
        <f>MIN(F30:M30)</f>
        <v>398.41</v>
      </c>
      <c r="AF30" s="4" t="s">
        <v>449</v>
      </c>
      <c r="AG30">
        <f>MIN(F30:G30,I30:K30,M30)</f>
        <v>398.41</v>
      </c>
      <c r="AH30" s="4" t="s">
        <v>449</v>
      </c>
      <c r="AI30">
        <f>MIN(F30:H30,J30:L30)</f>
        <v>466.56</v>
      </c>
      <c r="AJ30" s="4" t="s">
        <v>449</v>
      </c>
      <c r="AK30">
        <f>MIN(F30:G30,J30:K30)</f>
        <v>695.1</v>
      </c>
      <c r="AL30" s="4" t="s">
        <v>449</v>
      </c>
    </row>
    <row r="31" spans="1:38" x14ac:dyDescent="0.3">
      <c r="A31">
        <v>1</v>
      </c>
      <c r="B31" t="s">
        <v>40</v>
      </c>
      <c r="C31" t="s">
        <v>41</v>
      </c>
      <c r="D31" s="30">
        <v>51.013137216075798</v>
      </c>
      <c r="E31" s="3">
        <v>3.9307155050000002</v>
      </c>
      <c r="F31" s="32">
        <v>185.55</v>
      </c>
      <c r="G31" s="32">
        <v>9000</v>
      </c>
      <c r="H31" s="32">
        <v>95.15</v>
      </c>
      <c r="I31" s="32">
        <v>1000</v>
      </c>
      <c r="J31" s="3">
        <v>2223.31</v>
      </c>
      <c r="K31" s="3">
        <v>9100</v>
      </c>
      <c r="L31" s="3">
        <v>841.49</v>
      </c>
      <c r="M31" s="3">
        <v>675.22</v>
      </c>
      <c r="N31" t="s">
        <v>433</v>
      </c>
      <c r="O31">
        <f t="shared" si="1"/>
        <v>95.15</v>
      </c>
      <c r="P31" s="4" t="s">
        <v>449</v>
      </c>
      <c r="Q31" s="5">
        <f t="shared" si="2"/>
        <v>185.55</v>
      </c>
      <c r="R31" s="9" t="s">
        <v>449</v>
      </c>
      <c r="S31">
        <f t="shared" si="3"/>
        <v>95.15</v>
      </c>
      <c r="T31" s="4" t="s">
        <v>449</v>
      </c>
      <c r="U31" s="5">
        <f t="shared" si="0"/>
        <v>185.55</v>
      </c>
      <c r="V31" s="14" t="s">
        <v>449</v>
      </c>
      <c r="W31">
        <f>MIN(F31:I31)</f>
        <v>95.15</v>
      </c>
      <c r="X31" s="4" t="s">
        <v>449</v>
      </c>
      <c r="Y31" s="5">
        <f>MIN(F31:G31,I31)</f>
        <v>185.55</v>
      </c>
      <c r="Z31" s="9" t="s">
        <v>449</v>
      </c>
      <c r="AA31">
        <f>MIN(F31:H31)</f>
        <v>95.15</v>
      </c>
      <c r="AB31" s="4" t="s">
        <v>449</v>
      </c>
      <c r="AC31" s="5">
        <f>MIN(F31:G31)</f>
        <v>185.55</v>
      </c>
      <c r="AD31" s="14" t="s">
        <v>449</v>
      </c>
      <c r="AE31">
        <f>MIN(F31:I31)</f>
        <v>95.15</v>
      </c>
      <c r="AF31" s="4" t="s">
        <v>449</v>
      </c>
      <c r="AG31" s="5">
        <f>MIN(F31:G31,I31)</f>
        <v>185.55</v>
      </c>
      <c r="AH31" s="9" t="s">
        <v>449</v>
      </c>
      <c r="AI31">
        <f>MIN(F31:H31)</f>
        <v>95.15</v>
      </c>
      <c r="AJ31" s="4" t="s">
        <v>449</v>
      </c>
      <c r="AK31" s="5">
        <f>MIN(F31:G31)</f>
        <v>185.55</v>
      </c>
      <c r="AL31" s="14" t="s">
        <v>449</v>
      </c>
    </row>
    <row r="32" spans="1:38" x14ac:dyDescent="0.3">
      <c r="A32">
        <v>1</v>
      </c>
      <c r="B32" t="s">
        <v>43</v>
      </c>
      <c r="C32" t="s">
        <v>44</v>
      </c>
      <c r="D32" s="30">
        <v>51.015227351682299</v>
      </c>
      <c r="E32" s="3">
        <v>3.9737124869999998</v>
      </c>
      <c r="F32" s="32">
        <v>935.35</v>
      </c>
      <c r="G32" s="32">
        <v>14000</v>
      </c>
      <c r="H32" s="32">
        <v>255.76</v>
      </c>
      <c r="I32" s="32">
        <v>3000</v>
      </c>
      <c r="J32" s="3">
        <v>9500</v>
      </c>
      <c r="K32" s="3">
        <v>4100</v>
      </c>
      <c r="L32" s="3">
        <v>936.21</v>
      </c>
      <c r="M32" s="3">
        <v>945.13</v>
      </c>
      <c r="N32" t="s">
        <v>433</v>
      </c>
      <c r="O32">
        <f t="shared" si="1"/>
        <v>255.76</v>
      </c>
      <c r="P32" s="4" t="s">
        <v>450</v>
      </c>
      <c r="Q32" s="5">
        <f t="shared" si="2"/>
        <v>935.35</v>
      </c>
      <c r="R32" s="4" t="s">
        <v>0</v>
      </c>
      <c r="S32">
        <f t="shared" si="3"/>
        <v>255.76</v>
      </c>
      <c r="T32" s="4" t="s">
        <v>449</v>
      </c>
      <c r="U32" s="5">
        <f t="shared" si="0"/>
        <v>935.35</v>
      </c>
      <c r="V32" s="14" t="s">
        <v>449</v>
      </c>
      <c r="W32">
        <f>MIN(F32:I32)</f>
        <v>255.76</v>
      </c>
      <c r="X32" s="4" t="s">
        <v>449</v>
      </c>
      <c r="Y32" s="5">
        <f>MIN(F32:G32,I32)</f>
        <v>935.35</v>
      </c>
      <c r="Z32" s="14" t="s">
        <v>449</v>
      </c>
      <c r="AA32">
        <f>MIN(F32:H32)</f>
        <v>255.76</v>
      </c>
      <c r="AB32" s="4" t="s">
        <v>449</v>
      </c>
      <c r="AC32" s="5">
        <f>MIN(F32:G32)</f>
        <v>935.35</v>
      </c>
      <c r="AD32" s="14" t="s">
        <v>449</v>
      </c>
      <c r="AE32">
        <f>MIN(F32:I32)</f>
        <v>255.76</v>
      </c>
      <c r="AF32" s="4" t="s">
        <v>449</v>
      </c>
      <c r="AG32" s="5">
        <f>MIN(F32:G32,I32)</f>
        <v>935.35</v>
      </c>
      <c r="AH32" s="4" t="s">
        <v>0</v>
      </c>
      <c r="AI32">
        <f>MIN(F32:H32)</f>
        <v>255.76</v>
      </c>
      <c r="AJ32" s="4" t="s">
        <v>449</v>
      </c>
      <c r="AK32" s="5">
        <f>MIN(F32:G32)</f>
        <v>935.35</v>
      </c>
      <c r="AL32" s="14" t="s">
        <v>449</v>
      </c>
    </row>
    <row r="33" spans="1:38" x14ac:dyDescent="0.3">
      <c r="A33">
        <v>1</v>
      </c>
      <c r="B33" t="s">
        <v>45</v>
      </c>
      <c r="C33" t="s">
        <v>46</v>
      </c>
      <c r="D33" s="30">
        <v>51.028756000000001</v>
      </c>
      <c r="E33" s="3">
        <v>4.0412039999999996</v>
      </c>
      <c r="F33" s="3">
        <v>8337</v>
      </c>
      <c r="G33" s="3">
        <v>3648</v>
      </c>
      <c r="H33" s="3">
        <v>2581</v>
      </c>
      <c r="I33" s="3">
        <v>2949.15</v>
      </c>
      <c r="J33" s="32">
        <v>2096.2399999999998</v>
      </c>
      <c r="K33" s="32">
        <v>6000</v>
      </c>
      <c r="L33" s="32">
        <v>2672</v>
      </c>
      <c r="M33" s="32">
        <v>2747.84</v>
      </c>
      <c r="N33" t="s">
        <v>432</v>
      </c>
      <c r="O33">
        <f t="shared" si="1"/>
        <v>2096.2399999999998</v>
      </c>
      <c r="P33" s="4" t="s">
        <v>0</v>
      </c>
      <c r="Q33">
        <f t="shared" si="2"/>
        <v>2096.2399999999998</v>
      </c>
      <c r="R33" s="4" t="s">
        <v>0</v>
      </c>
      <c r="S33">
        <f t="shared" si="3"/>
        <v>2096.2399999999998</v>
      </c>
      <c r="T33" s="4" t="s">
        <v>0</v>
      </c>
      <c r="U33">
        <f t="shared" si="0"/>
        <v>2096.2399999999998</v>
      </c>
      <c r="V33" s="4" t="s">
        <v>0</v>
      </c>
      <c r="W33">
        <f>MIN(J33:M33)</f>
        <v>2096.2399999999998</v>
      </c>
      <c r="X33" s="4" t="s">
        <v>0</v>
      </c>
      <c r="Y33">
        <f>MIN(J33:K33,M33)</f>
        <v>2096.2399999999998</v>
      </c>
      <c r="Z33" s="4" t="s">
        <v>0</v>
      </c>
      <c r="AA33">
        <f>MIN(J33:L33)</f>
        <v>2096.2399999999998</v>
      </c>
      <c r="AB33" s="4" t="s">
        <v>0</v>
      </c>
      <c r="AC33">
        <f>MIN(J33:K33)</f>
        <v>2096.2399999999998</v>
      </c>
      <c r="AD33" s="4" t="s">
        <v>449</v>
      </c>
      <c r="AE33">
        <f>MIN(F33:M33)</f>
        <v>2096.2399999999998</v>
      </c>
      <c r="AF33" s="4" t="s">
        <v>0</v>
      </c>
      <c r="AG33">
        <f>MIN(F33:G33,I33:K33,M33)</f>
        <v>2096.2399999999998</v>
      </c>
      <c r="AH33" s="4" t="s">
        <v>0</v>
      </c>
      <c r="AI33">
        <f>MIN(F33:H33,J33:L33)</f>
        <v>2096.2399999999998</v>
      </c>
      <c r="AJ33" s="4" t="s">
        <v>0</v>
      </c>
      <c r="AK33">
        <f>MIN(F33:G33,J33:K33)</f>
        <v>2096.2399999999998</v>
      </c>
      <c r="AL33" s="4" t="s">
        <v>449</v>
      </c>
    </row>
    <row r="34" spans="1:38" x14ac:dyDescent="0.3">
      <c r="A34">
        <v>1</v>
      </c>
      <c r="B34" t="s">
        <v>48</v>
      </c>
      <c r="C34" t="s">
        <v>49</v>
      </c>
      <c r="D34" s="30">
        <v>51.033887898573298</v>
      </c>
      <c r="E34" s="3">
        <v>4.1039823020000004</v>
      </c>
      <c r="F34" s="3">
        <v>5216.96</v>
      </c>
      <c r="G34" s="3">
        <v>1580</v>
      </c>
      <c r="H34" s="3">
        <v>2210</v>
      </c>
      <c r="I34" s="3">
        <v>290.14999999999998</v>
      </c>
      <c r="J34" s="32">
        <v>12300</v>
      </c>
      <c r="K34" s="32">
        <v>1438.52</v>
      </c>
      <c r="L34" s="32">
        <v>14100</v>
      </c>
      <c r="M34" s="32">
        <v>1235</v>
      </c>
      <c r="N34" t="s">
        <v>432</v>
      </c>
      <c r="O34">
        <f t="shared" si="1"/>
        <v>290.14999999999998</v>
      </c>
      <c r="P34" s="4" t="s">
        <v>449</v>
      </c>
      <c r="Q34">
        <f t="shared" si="2"/>
        <v>290.14999999999998</v>
      </c>
      <c r="R34" s="4" t="s">
        <v>449</v>
      </c>
      <c r="S34" s="5">
        <f t="shared" si="3"/>
        <v>1438.52</v>
      </c>
      <c r="T34" s="4" t="s">
        <v>0</v>
      </c>
      <c r="U34" s="5">
        <f t="shared" si="0"/>
        <v>1438.52</v>
      </c>
      <c r="V34" s="14" t="s">
        <v>449</v>
      </c>
      <c r="W34">
        <f>MIN(J34:M34)</f>
        <v>1235</v>
      </c>
      <c r="X34" s="4" t="s">
        <v>0</v>
      </c>
      <c r="Y34">
        <f>MIN(J34:K34,M34)</f>
        <v>1235</v>
      </c>
      <c r="Z34" s="4" t="s">
        <v>0</v>
      </c>
      <c r="AA34" s="5">
        <f>MIN(J34:L34)</f>
        <v>1438.52</v>
      </c>
      <c r="AB34" s="14" t="s">
        <v>449</v>
      </c>
      <c r="AC34" s="5">
        <f>MIN(J34:K34)</f>
        <v>1438.52</v>
      </c>
      <c r="AD34" s="14" t="s">
        <v>449</v>
      </c>
      <c r="AE34">
        <f>MIN(F34:M34)</f>
        <v>290.14999999999998</v>
      </c>
      <c r="AF34" s="4" t="s">
        <v>449</v>
      </c>
      <c r="AG34">
        <f>MIN(F34:G34,I34:K34,M34)</f>
        <v>290.14999999999998</v>
      </c>
      <c r="AH34" s="4" t="s">
        <v>449</v>
      </c>
      <c r="AI34" s="5">
        <f>MIN(F34:H34,J34:L34)</f>
        <v>1438.52</v>
      </c>
      <c r="AJ34" s="14" t="s">
        <v>449</v>
      </c>
      <c r="AK34" s="5">
        <f>MIN(F34:G34,J34:K34)</f>
        <v>1438.52</v>
      </c>
      <c r="AL34" s="14" t="s">
        <v>449</v>
      </c>
    </row>
    <row r="35" spans="1:38" x14ac:dyDescent="0.3">
      <c r="A35">
        <v>1</v>
      </c>
      <c r="B35" t="s">
        <v>51</v>
      </c>
      <c r="C35" t="s">
        <v>52</v>
      </c>
      <c r="D35" s="30">
        <v>51.040182618579998</v>
      </c>
      <c r="E35" s="3">
        <v>4.1653909889999996</v>
      </c>
      <c r="F35" s="32">
        <v>13400</v>
      </c>
      <c r="G35" s="32">
        <v>9700</v>
      </c>
      <c r="H35" s="32">
        <v>1666</v>
      </c>
      <c r="I35" s="32">
        <v>1728</v>
      </c>
      <c r="J35" s="3">
        <v>4102</v>
      </c>
      <c r="K35" s="3">
        <v>1186.77</v>
      </c>
      <c r="L35" s="3">
        <v>5714</v>
      </c>
      <c r="M35" s="3">
        <v>5352</v>
      </c>
      <c r="N35" t="s">
        <v>433</v>
      </c>
      <c r="O35">
        <f t="shared" si="1"/>
        <v>1186.77</v>
      </c>
      <c r="P35" s="4" t="s">
        <v>0</v>
      </c>
      <c r="Q35">
        <f t="shared" si="2"/>
        <v>1186.77</v>
      </c>
      <c r="R35" s="4" t="s">
        <v>0</v>
      </c>
      <c r="S35">
        <f t="shared" si="3"/>
        <v>1186.77</v>
      </c>
      <c r="T35" s="4" t="s">
        <v>449</v>
      </c>
      <c r="U35">
        <f t="shared" si="0"/>
        <v>1186.77</v>
      </c>
      <c r="V35" s="4" t="s">
        <v>449</v>
      </c>
      <c r="W35">
        <f>MIN(F35:I35)</f>
        <v>1666</v>
      </c>
      <c r="X35" s="4" t="s">
        <v>0</v>
      </c>
      <c r="Y35">
        <f>MIN(F35:G35,I35)</f>
        <v>1728</v>
      </c>
      <c r="Z35" s="4" t="s">
        <v>0</v>
      </c>
      <c r="AA35">
        <f>MIN(F35:H35)</f>
        <v>1666</v>
      </c>
      <c r="AB35" s="4" t="s">
        <v>0</v>
      </c>
      <c r="AC35" s="5">
        <f>MIN(F35:G35)</f>
        <v>9700</v>
      </c>
      <c r="AD35" s="4" t="s">
        <v>0</v>
      </c>
      <c r="AE35">
        <f>MIN(F35:I35)</f>
        <v>1666</v>
      </c>
      <c r="AF35" s="4" t="s">
        <v>0</v>
      </c>
      <c r="AG35">
        <f>MIN(F35:G35,I35)</f>
        <v>1728</v>
      </c>
      <c r="AH35" s="4" t="s">
        <v>0</v>
      </c>
      <c r="AI35">
        <f>MIN(F35:H35)</f>
        <v>1666</v>
      </c>
      <c r="AJ35" s="4" t="s">
        <v>0</v>
      </c>
      <c r="AK35" s="5">
        <f>MIN(F35:G35)</f>
        <v>9700</v>
      </c>
      <c r="AL35" s="4" t="s">
        <v>0</v>
      </c>
    </row>
    <row r="36" spans="1:38" x14ac:dyDescent="0.3">
      <c r="A36">
        <v>1</v>
      </c>
      <c r="B36" t="s">
        <v>53</v>
      </c>
      <c r="C36" t="s">
        <v>54</v>
      </c>
      <c r="D36" s="30">
        <v>51.0556886858204</v>
      </c>
      <c r="E36" s="3">
        <v>4.2000242180000003</v>
      </c>
      <c r="F36" s="32">
        <v>879.79</v>
      </c>
      <c r="G36" s="32">
        <v>2989</v>
      </c>
      <c r="H36" s="32">
        <v>6666</v>
      </c>
      <c r="I36" s="32">
        <v>426</v>
      </c>
      <c r="J36" s="3">
        <v>9730</v>
      </c>
      <c r="K36" s="3">
        <v>8452</v>
      </c>
      <c r="L36" s="3">
        <v>755</v>
      </c>
      <c r="M36" s="3">
        <v>560</v>
      </c>
      <c r="N36" t="s">
        <v>433</v>
      </c>
      <c r="O36">
        <f t="shared" si="1"/>
        <v>426</v>
      </c>
      <c r="P36" s="4" t="s">
        <v>449</v>
      </c>
      <c r="Q36">
        <f t="shared" si="2"/>
        <v>426</v>
      </c>
      <c r="R36" s="4" t="s">
        <v>449</v>
      </c>
      <c r="S36">
        <f t="shared" si="3"/>
        <v>755</v>
      </c>
      <c r="T36" s="4" t="s">
        <v>449</v>
      </c>
      <c r="U36">
        <f t="shared" si="0"/>
        <v>879.79</v>
      </c>
      <c r="V36" s="4" t="s">
        <v>449</v>
      </c>
      <c r="W36">
        <f>MIN(F36:I36)</f>
        <v>426</v>
      </c>
      <c r="X36" s="4" t="s">
        <v>449</v>
      </c>
      <c r="Y36">
        <f>MIN(F36:G36,I36)</f>
        <v>426</v>
      </c>
      <c r="Z36" s="4" t="s">
        <v>449</v>
      </c>
      <c r="AA36">
        <f>MIN(F36:H36)</f>
        <v>879.79</v>
      </c>
      <c r="AB36" s="4" t="s">
        <v>449</v>
      </c>
      <c r="AC36">
        <f>MIN(F36:G36)</f>
        <v>879.79</v>
      </c>
      <c r="AD36" s="4" t="s">
        <v>449</v>
      </c>
      <c r="AE36">
        <f>MIN(F36:I36)</f>
        <v>426</v>
      </c>
      <c r="AF36" s="4" t="s">
        <v>449</v>
      </c>
      <c r="AG36">
        <f>MIN(F36:G36,I36)</f>
        <v>426</v>
      </c>
      <c r="AH36" s="4" t="s">
        <v>449</v>
      </c>
      <c r="AI36">
        <f>MIN(F36:H36)</f>
        <v>879.79</v>
      </c>
      <c r="AJ36" s="4" t="s">
        <v>449</v>
      </c>
      <c r="AK36">
        <f>MIN(F36:G36)</f>
        <v>879.79</v>
      </c>
      <c r="AL36" s="4" t="s">
        <v>449</v>
      </c>
    </row>
    <row r="37" spans="1:38" x14ac:dyDescent="0.3">
      <c r="A37">
        <v>1</v>
      </c>
      <c r="B37" t="s">
        <v>55</v>
      </c>
      <c r="C37" t="s">
        <v>56</v>
      </c>
      <c r="D37" s="29">
        <v>51.091848083364802</v>
      </c>
      <c r="E37" s="9">
        <v>4.1725923800000002</v>
      </c>
      <c r="F37" s="3">
        <v>6099</v>
      </c>
      <c r="G37" s="3">
        <v>8190</v>
      </c>
      <c r="H37" s="3">
        <v>3050</v>
      </c>
      <c r="I37" s="3">
        <v>751</v>
      </c>
      <c r="J37" s="32">
        <v>4600</v>
      </c>
      <c r="K37" s="32">
        <v>3270</v>
      </c>
      <c r="L37" s="32">
        <v>2330</v>
      </c>
      <c r="M37" s="32">
        <v>2330</v>
      </c>
      <c r="N37" t="s">
        <v>432</v>
      </c>
      <c r="O37">
        <f t="shared" si="1"/>
        <v>751</v>
      </c>
      <c r="P37" s="4" t="s">
        <v>449</v>
      </c>
      <c r="Q37">
        <f t="shared" si="2"/>
        <v>751</v>
      </c>
      <c r="R37" s="4" t="s">
        <v>449</v>
      </c>
      <c r="S37">
        <f t="shared" si="3"/>
        <v>2330</v>
      </c>
      <c r="T37" s="4" t="s">
        <v>0</v>
      </c>
      <c r="U37">
        <f t="shared" si="0"/>
        <v>3270</v>
      </c>
      <c r="V37" s="4" t="s">
        <v>0</v>
      </c>
      <c r="W37">
        <f>MIN(J37:M37)</f>
        <v>2330</v>
      </c>
      <c r="X37" s="4" t="s">
        <v>0</v>
      </c>
      <c r="Y37">
        <f>MIN(J37:K37,M37)</f>
        <v>2330</v>
      </c>
      <c r="Z37" s="4" t="s">
        <v>0</v>
      </c>
      <c r="AA37">
        <f>MIN(J37:L37)</f>
        <v>2330</v>
      </c>
      <c r="AB37" s="4" t="s">
        <v>0</v>
      </c>
      <c r="AC37">
        <f>MIN(J37:K37)</f>
        <v>3270</v>
      </c>
      <c r="AD37" s="4" t="s">
        <v>0</v>
      </c>
      <c r="AE37">
        <f>MIN(F37:M37)</f>
        <v>751</v>
      </c>
      <c r="AF37" s="4" t="s">
        <v>449</v>
      </c>
      <c r="AG37">
        <f>MIN(F37:G37,I37:K37,M37)</f>
        <v>751</v>
      </c>
      <c r="AH37" s="4" t="s">
        <v>449</v>
      </c>
      <c r="AI37">
        <f>MIN(F37:H37,J37:L37)</f>
        <v>2330</v>
      </c>
      <c r="AJ37" s="4" t="s">
        <v>0</v>
      </c>
      <c r="AK37">
        <f>MIN(F37:G37,J37:K37)</f>
        <v>3270</v>
      </c>
      <c r="AL37" s="4" t="s">
        <v>0</v>
      </c>
    </row>
    <row r="38" spans="1:38" x14ac:dyDescent="0.3">
      <c r="A38">
        <v>1</v>
      </c>
      <c r="B38" t="s">
        <v>57</v>
      </c>
      <c r="C38" t="s">
        <v>58</v>
      </c>
      <c r="D38" s="29">
        <v>51.119042520973501</v>
      </c>
      <c r="E38" s="9">
        <v>4.204938318</v>
      </c>
      <c r="F38" s="3">
        <v>6560</v>
      </c>
      <c r="G38" s="3">
        <v>3010</v>
      </c>
      <c r="H38" s="3">
        <v>1226</v>
      </c>
      <c r="I38" s="3">
        <v>2929</v>
      </c>
      <c r="J38" s="32">
        <v>1831</v>
      </c>
      <c r="K38" s="32">
        <v>12531</v>
      </c>
      <c r="L38" s="32">
        <v>1248</v>
      </c>
      <c r="M38" s="32">
        <v>828</v>
      </c>
      <c r="N38" t="s">
        <v>432</v>
      </c>
      <c r="O38">
        <f t="shared" si="1"/>
        <v>828</v>
      </c>
      <c r="P38" s="4" t="s">
        <v>0</v>
      </c>
      <c r="Q38">
        <f t="shared" si="2"/>
        <v>828</v>
      </c>
      <c r="R38" s="4" t="s">
        <v>449</v>
      </c>
      <c r="S38">
        <f t="shared" si="3"/>
        <v>1226</v>
      </c>
      <c r="T38" s="4" t="s">
        <v>0</v>
      </c>
      <c r="U38">
        <f t="shared" si="0"/>
        <v>1831</v>
      </c>
      <c r="V38" s="4" t="s">
        <v>449</v>
      </c>
      <c r="W38">
        <f>MIN(J38:M38)</f>
        <v>828</v>
      </c>
      <c r="X38" s="4" t="s">
        <v>449</v>
      </c>
      <c r="Y38">
        <f>MIN(J38:K38,M38)</f>
        <v>828</v>
      </c>
      <c r="Z38" s="4" t="s">
        <v>449</v>
      </c>
      <c r="AA38">
        <f>MIN(J38:L38)</f>
        <v>1248</v>
      </c>
      <c r="AB38" s="4" t="s">
        <v>449</v>
      </c>
      <c r="AC38">
        <f>MIN(J38:K38)</f>
        <v>1831</v>
      </c>
      <c r="AD38" s="4" t="s">
        <v>449</v>
      </c>
      <c r="AE38">
        <f>MIN(F38:M38)</f>
        <v>828</v>
      </c>
      <c r="AF38" s="4" t="s">
        <v>449</v>
      </c>
      <c r="AG38">
        <f>MIN(F38:G38,I38:K38,M38)</f>
        <v>828</v>
      </c>
      <c r="AH38" s="4" t="s">
        <v>449</v>
      </c>
      <c r="AI38">
        <f>MIN(F38:H38,J38:L38)</f>
        <v>1226</v>
      </c>
      <c r="AJ38" s="4" t="s">
        <v>449</v>
      </c>
      <c r="AK38">
        <f>MIN(F38:G38,J38:K38)</f>
        <v>1831</v>
      </c>
      <c r="AL38" s="4" t="s">
        <v>449</v>
      </c>
    </row>
    <row r="39" spans="1:38" x14ac:dyDescent="0.3">
      <c r="A39">
        <v>1</v>
      </c>
      <c r="B39" t="s">
        <v>59</v>
      </c>
      <c r="C39" t="s">
        <v>60</v>
      </c>
      <c r="D39" s="30">
        <v>51.123835434132303</v>
      </c>
      <c r="E39" s="3">
        <v>4.2750023769999999</v>
      </c>
      <c r="F39" s="3">
        <v>2940</v>
      </c>
      <c r="G39" s="3">
        <v>8400</v>
      </c>
      <c r="H39" s="3">
        <v>199.61</v>
      </c>
      <c r="I39" s="3">
        <v>190.43</v>
      </c>
      <c r="J39" s="32">
        <v>6936</v>
      </c>
      <c r="K39" s="32">
        <v>7250</v>
      </c>
      <c r="L39" s="32">
        <v>1407</v>
      </c>
      <c r="M39" s="32">
        <v>1193</v>
      </c>
      <c r="N39" t="s">
        <v>432</v>
      </c>
      <c r="O39">
        <f t="shared" si="1"/>
        <v>190.43</v>
      </c>
      <c r="P39" s="4" t="s">
        <v>449</v>
      </c>
      <c r="Q39">
        <f t="shared" si="2"/>
        <v>190.43</v>
      </c>
      <c r="R39" s="4" t="s">
        <v>449</v>
      </c>
      <c r="S39">
        <f t="shared" si="3"/>
        <v>199.61</v>
      </c>
      <c r="T39" s="4" t="s">
        <v>449</v>
      </c>
      <c r="U39">
        <f t="shared" si="0"/>
        <v>2940</v>
      </c>
      <c r="V39" s="4" t="s">
        <v>0</v>
      </c>
      <c r="W39">
        <f>MIN(J39:M39)</f>
        <v>1193</v>
      </c>
      <c r="X39" s="4" t="s">
        <v>0</v>
      </c>
      <c r="Y39">
        <f>MIN(J39:K39,M39)</f>
        <v>1193</v>
      </c>
      <c r="Z39" s="4" t="s">
        <v>449</v>
      </c>
      <c r="AA39">
        <f>MIN(J39:L39)</f>
        <v>1407</v>
      </c>
      <c r="AB39" s="4" t="s">
        <v>449</v>
      </c>
      <c r="AC39">
        <f>MIN(J39:K39)</f>
        <v>6936</v>
      </c>
      <c r="AD39" s="4" t="s">
        <v>0</v>
      </c>
      <c r="AE39">
        <f>MIN(F39:M39)</f>
        <v>190.43</v>
      </c>
      <c r="AF39" s="4" t="s">
        <v>449</v>
      </c>
      <c r="AG39">
        <f>MIN(F39:G39,I39:K39,M39)</f>
        <v>190.43</v>
      </c>
      <c r="AH39" s="4" t="s">
        <v>449</v>
      </c>
      <c r="AI39">
        <f>MIN(F39:H39,J39:L39)</f>
        <v>199.61</v>
      </c>
      <c r="AJ39" s="4" t="s">
        <v>449</v>
      </c>
      <c r="AK39">
        <f>MIN(F39:G39,J39:K39)</f>
        <v>2940</v>
      </c>
      <c r="AL39" s="4" t="s">
        <v>0</v>
      </c>
    </row>
    <row r="40" spans="1:38" x14ac:dyDescent="0.3">
      <c r="A40">
        <v>1</v>
      </c>
      <c r="B40" t="s">
        <v>61</v>
      </c>
      <c r="C40" t="s">
        <v>62</v>
      </c>
      <c r="D40" s="30">
        <v>51.142229999999998</v>
      </c>
      <c r="E40" s="3">
        <v>4.3264480000000001</v>
      </c>
      <c r="F40" s="32">
        <v>7244</v>
      </c>
      <c r="G40" s="32">
        <v>7480</v>
      </c>
      <c r="H40" s="32">
        <v>1517</v>
      </c>
      <c r="I40" s="32">
        <v>284</v>
      </c>
      <c r="J40" s="3">
        <v>8397</v>
      </c>
      <c r="K40" s="3">
        <v>6751</v>
      </c>
      <c r="L40" s="3">
        <v>303.33999999999997</v>
      </c>
      <c r="M40" s="3">
        <v>4252</v>
      </c>
      <c r="N40" t="s">
        <v>433</v>
      </c>
      <c r="O40">
        <f t="shared" si="1"/>
        <v>284</v>
      </c>
      <c r="P40" s="4" t="s">
        <v>450</v>
      </c>
      <c r="Q40">
        <f t="shared" si="2"/>
        <v>284</v>
      </c>
      <c r="R40" s="4" t="s">
        <v>449</v>
      </c>
      <c r="S40">
        <f t="shared" si="3"/>
        <v>303.33999999999997</v>
      </c>
      <c r="T40" s="4" t="s">
        <v>449</v>
      </c>
      <c r="U40">
        <f t="shared" si="0"/>
        <v>6751</v>
      </c>
      <c r="V40" s="4" t="s">
        <v>0</v>
      </c>
      <c r="W40">
        <f>MIN(F40:I40)</f>
        <v>284</v>
      </c>
      <c r="X40" s="4" t="s">
        <v>449</v>
      </c>
      <c r="Y40">
        <f>MIN(F40:G40,I40)</f>
        <v>284</v>
      </c>
      <c r="Z40" s="4" t="s">
        <v>449</v>
      </c>
      <c r="AA40">
        <f>MIN(F40:H40)</f>
        <v>1517</v>
      </c>
      <c r="AB40" s="4" t="s">
        <v>449</v>
      </c>
      <c r="AC40">
        <f>MIN(F40:G40)</f>
        <v>7244</v>
      </c>
      <c r="AD40" s="4" t="s">
        <v>0</v>
      </c>
      <c r="AE40">
        <f>MIN(F40:I40)</f>
        <v>284</v>
      </c>
      <c r="AF40" s="4" t="s">
        <v>449</v>
      </c>
      <c r="AG40">
        <f>MIN(F40:G40,I40)</f>
        <v>284</v>
      </c>
      <c r="AH40" s="4" t="s">
        <v>449</v>
      </c>
      <c r="AI40">
        <f>MIN(F40:H40)</f>
        <v>1517</v>
      </c>
      <c r="AJ40" s="4" t="s">
        <v>0</v>
      </c>
      <c r="AK40">
        <f>MIN(F40:G40)</f>
        <v>7244</v>
      </c>
      <c r="AL40" s="4" t="s">
        <v>0</v>
      </c>
    </row>
    <row r="41" spans="1:38" x14ac:dyDescent="0.3">
      <c r="A41">
        <v>1</v>
      </c>
      <c r="B41" t="s">
        <v>63</v>
      </c>
      <c r="C41" t="s">
        <v>64</v>
      </c>
      <c r="D41" s="30">
        <v>51.175387999999998</v>
      </c>
      <c r="E41" s="3">
        <v>4.3304999999999998</v>
      </c>
      <c r="F41" s="32">
        <v>10944</v>
      </c>
      <c r="G41" s="32">
        <v>3751</v>
      </c>
      <c r="H41" s="32">
        <v>595</v>
      </c>
      <c r="I41" s="32">
        <v>1678</v>
      </c>
      <c r="J41" s="32">
        <v>4638</v>
      </c>
      <c r="K41" s="32">
        <v>17430</v>
      </c>
      <c r="L41" s="32">
        <v>2105</v>
      </c>
      <c r="M41" s="32">
        <v>545</v>
      </c>
      <c r="N41" t="s">
        <v>434</v>
      </c>
      <c r="O41">
        <f t="shared" si="1"/>
        <v>545</v>
      </c>
      <c r="P41" s="4" t="s">
        <v>450</v>
      </c>
      <c r="Q41">
        <f t="shared" si="2"/>
        <v>545</v>
      </c>
      <c r="R41" s="4" t="s">
        <v>449</v>
      </c>
      <c r="S41">
        <f t="shared" si="3"/>
        <v>595</v>
      </c>
      <c r="T41" s="4" t="s">
        <v>449</v>
      </c>
      <c r="U41">
        <f t="shared" si="0"/>
        <v>3751</v>
      </c>
      <c r="V41" s="4" t="s">
        <v>0</v>
      </c>
      <c r="W41">
        <f>MIN(F41:M41)</f>
        <v>545</v>
      </c>
      <c r="X41" s="4" t="s">
        <v>449</v>
      </c>
      <c r="Y41">
        <f>MIN(F41:G41,I41:K41,M41)</f>
        <v>545</v>
      </c>
      <c r="Z41" s="4" t="s">
        <v>449</v>
      </c>
      <c r="AA41">
        <f>MIN(F41:H41,J41:L41)</f>
        <v>595</v>
      </c>
      <c r="AB41" s="4" t="s">
        <v>449</v>
      </c>
      <c r="AC41">
        <f>MIN(F41:G41,J41:K41)</f>
        <v>3751</v>
      </c>
      <c r="AD41" s="4" t="s">
        <v>0</v>
      </c>
      <c r="AE41">
        <f>MIN(F41:M41)</f>
        <v>545</v>
      </c>
      <c r="AF41" s="4" t="s">
        <v>449</v>
      </c>
      <c r="AG41">
        <f>MIN(F41:G41,I41:K41,M41)</f>
        <v>545</v>
      </c>
      <c r="AH41" s="4" t="s">
        <v>449</v>
      </c>
      <c r="AI41">
        <f>MIN(F41:H41,J41:L41)</f>
        <v>595</v>
      </c>
      <c r="AJ41" s="4" t="s">
        <v>449</v>
      </c>
      <c r="AK41">
        <f>MIN(F41:G41,J41:K41)</f>
        <v>3751</v>
      </c>
      <c r="AL41" s="4" t="s">
        <v>0</v>
      </c>
    </row>
    <row r="42" spans="1:38" x14ac:dyDescent="0.3">
      <c r="A42">
        <v>1</v>
      </c>
      <c r="B42" t="s">
        <v>65</v>
      </c>
      <c r="C42" t="s">
        <v>66</v>
      </c>
      <c r="D42" s="30">
        <v>51.196627999999997</v>
      </c>
      <c r="E42" s="3">
        <v>4.3443820000000004</v>
      </c>
      <c r="F42" s="32">
        <v>3935</v>
      </c>
      <c r="G42" s="32">
        <v>6450</v>
      </c>
      <c r="H42" s="32">
        <v>1655</v>
      </c>
      <c r="I42" s="32">
        <v>2421</v>
      </c>
      <c r="J42" s="3">
        <v>1862</v>
      </c>
      <c r="K42" s="3">
        <v>14730</v>
      </c>
      <c r="L42" s="3">
        <v>3140</v>
      </c>
      <c r="M42" s="3">
        <v>2556</v>
      </c>
      <c r="N42" t="s">
        <v>433</v>
      </c>
      <c r="O42">
        <f t="shared" si="1"/>
        <v>1655</v>
      </c>
      <c r="P42" s="4" t="s">
        <v>0</v>
      </c>
      <c r="Q42">
        <f t="shared" si="2"/>
        <v>1862</v>
      </c>
      <c r="R42" s="4" t="s">
        <v>0</v>
      </c>
      <c r="S42">
        <f t="shared" si="3"/>
        <v>1655</v>
      </c>
      <c r="T42" s="4" t="s">
        <v>0</v>
      </c>
      <c r="U42">
        <f t="shared" si="0"/>
        <v>1862</v>
      </c>
      <c r="V42" s="4" t="s">
        <v>449</v>
      </c>
      <c r="W42">
        <f>MIN(F42:I42)</f>
        <v>1655</v>
      </c>
      <c r="X42" s="4" t="s">
        <v>0</v>
      </c>
      <c r="Y42">
        <f>MIN(F42:G42,I42)</f>
        <v>2421</v>
      </c>
      <c r="Z42" s="4" t="s">
        <v>0</v>
      </c>
      <c r="AA42">
        <f>MIN(F42:H42)</f>
        <v>1655</v>
      </c>
      <c r="AB42" s="4" t="s">
        <v>0</v>
      </c>
      <c r="AC42">
        <f>MIN(F42:G42)</f>
        <v>3935</v>
      </c>
      <c r="AD42" s="4" t="s">
        <v>0</v>
      </c>
      <c r="AE42">
        <f>MIN(F42:I42)</f>
        <v>1655</v>
      </c>
      <c r="AF42" s="4" t="s">
        <v>0</v>
      </c>
      <c r="AG42">
        <f>MIN(F42:G42,I42)</f>
        <v>2421</v>
      </c>
      <c r="AH42" s="4" t="s">
        <v>0</v>
      </c>
      <c r="AI42">
        <f>MIN(F42:H42)</f>
        <v>1655</v>
      </c>
      <c r="AJ42" s="4" t="s">
        <v>0</v>
      </c>
      <c r="AK42">
        <f>MIN(F42:G42)</f>
        <v>3935</v>
      </c>
      <c r="AL42" s="4" t="s">
        <v>0</v>
      </c>
    </row>
    <row r="43" spans="1:38" x14ac:dyDescent="0.3">
      <c r="A43">
        <v>1</v>
      </c>
      <c r="B43" t="s">
        <v>67</v>
      </c>
      <c r="C43" t="s">
        <v>68</v>
      </c>
      <c r="D43" s="30">
        <v>51.224416750945402</v>
      </c>
      <c r="E43" s="3">
        <v>4.3924785210000001</v>
      </c>
      <c r="F43" s="3">
        <v>3010</v>
      </c>
      <c r="G43" s="3">
        <v>11250</v>
      </c>
      <c r="H43" s="3">
        <v>610</v>
      </c>
      <c r="I43" s="3">
        <v>482</v>
      </c>
      <c r="J43" s="32">
        <v>4214</v>
      </c>
      <c r="K43" s="32">
        <v>9930</v>
      </c>
      <c r="L43" s="32">
        <v>535</v>
      </c>
      <c r="M43" s="32">
        <v>514</v>
      </c>
      <c r="N43" t="s">
        <v>432</v>
      </c>
      <c r="O43" s="5">
        <f t="shared" si="1"/>
        <v>482</v>
      </c>
      <c r="P43" s="9" t="s">
        <v>449</v>
      </c>
      <c r="Q43" s="5">
        <f t="shared" si="2"/>
        <v>482</v>
      </c>
      <c r="R43" s="14" t="s">
        <v>449</v>
      </c>
      <c r="S43">
        <f t="shared" si="3"/>
        <v>535</v>
      </c>
      <c r="T43" s="4" t="s">
        <v>449</v>
      </c>
      <c r="U43">
        <f t="shared" si="0"/>
        <v>3010</v>
      </c>
      <c r="V43" s="4" t="s">
        <v>0</v>
      </c>
      <c r="W43" s="5">
        <f>MIN(J43:M43)</f>
        <v>514</v>
      </c>
      <c r="X43" s="9" t="s">
        <v>449</v>
      </c>
      <c r="Y43" s="5">
        <f>MIN(J43:K43,M43)</f>
        <v>514</v>
      </c>
      <c r="Z43" s="14" t="s">
        <v>449</v>
      </c>
      <c r="AA43">
        <f>MIN(J43:L43)</f>
        <v>535</v>
      </c>
      <c r="AB43" s="4" t="s">
        <v>449</v>
      </c>
      <c r="AC43" s="5">
        <f>MIN(J43:K43)</f>
        <v>4214</v>
      </c>
      <c r="AD43" s="4" t="s">
        <v>0</v>
      </c>
      <c r="AE43" s="5">
        <f t="shared" ref="AE43:AE51" si="4">MIN(F43:M43)</f>
        <v>482</v>
      </c>
      <c r="AF43" s="9" t="s">
        <v>449</v>
      </c>
      <c r="AG43" s="5">
        <f t="shared" ref="AG43:AG51" si="5">MIN(F43:G43,I43:K43,M43)</f>
        <v>482</v>
      </c>
      <c r="AH43" s="14" t="s">
        <v>449</v>
      </c>
      <c r="AI43">
        <f t="shared" ref="AI43:AI51" si="6">MIN(F43:H43,J43:L43)</f>
        <v>535</v>
      </c>
      <c r="AJ43" s="4" t="s">
        <v>449</v>
      </c>
      <c r="AK43">
        <f t="shared" ref="AK43:AK51" si="7">MIN(F43:G43,J43:K43)</f>
        <v>3010</v>
      </c>
      <c r="AL43" s="4" t="s">
        <v>0</v>
      </c>
    </row>
    <row r="44" spans="1:38" x14ac:dyDescent="0.3">
      <c r="A44">
        <v>1</v>
      </c>
      <c r="B44" t="s">
        <v>69</v>
      </c>
      <c r="C44" t="s">
        <v>70</v>
      </c>
      <c r="D44" s="30">
        <v>51.234163383876002</v>
      </c>
      <c r="E44" s="3">
        <v>4.3969127629999996</v>
      </c>
      <c r="F44" s="3">
        <v>4176</v>
      </c>
      <c r="G44" s="3">
        <v>12350</v>
      </c>
      <c r="H44" s="3">
        <v>952</v>
      </c>
      <c r="I44" s="3">
        <v>907</v>
      </c>
      <c r="J44" s="32">
        <v>2978</v>
      </c>
      <c r="K44" s="32">
        <v>8830</v>
      </c>
      <c r="L44" s="32">
        <v>858</v>
      </c>
      <c r="M44" s="32">
        <v>3598</v>
      </c>
      <c r="N44" t="s">
        <v>432</v>
      </c>
      <c r="O44" s="5">
        <f t="shared" si="1"/>
        <v>858</v>
      </c>
      <c r="P44" s="4" t="s">
        <v>0</v>
      </c>
      <c r="Q44" s="5">
        <f t="shared" si="2"/>
        <v>907</v>
      </c>
      <c r="R44" s="4" t="s">
        <v>0</v>
      </c>
      <c r="S44" s="5">
        <f t="shared" si="3"/>
        <v>858</v>
      </c>
      <c r="T44" s="9" t="s">
        <v>449</v>
      </c>
      <c r="U44" s="5">
        <f t="shared" si="0"/>
        <v>2978</v>
      </c>
      <c r="V44" s="4" t="s">
        <v>0</v>
      </c>
      <c r="W44" s="5">
        <f>MIN(J44:M44)</f>
        <v>858</v>
      </c>
      <c r="X44" s="14" t="s">
        <v>449</v>
      </c>
      <c r="Y44" s="5">
        <f>MIN(J44:K44,M44)</f>
        <v>2978</v>
      </c>
      <c r="Z44" s="4" t="s">
        <v>0</v>
      </c>
      <c r="AA44" s="5">
        <f>MIN(J44:L44)</f>
        <v>858</v>
      </c>
      <c r="AB44" s="14" t="s">
        <v>449</v>
      </c>
      <c r="AC44" s="5">
        <f>MIN(J44:K44)</f>
        <v>2978</v>
      </c>
      <c r="AD44" s="9" t="s">
        <v>0</v>
      </c>
      <c r="AE44" s="5">
        <f t="shared" si="4"/>
        <v>858</v>
      </c>
      <c r="AF44" s="4" t="s">
        <v>0</v>
      </c>
      <c r="AG44" s="5">
        <f t="shared" si="5"/>
        <v>907</v>
      </c>
      <c r="AH44" s="14" t="s">
        <v>449</v>
      </c>
      <c r="AI44" s="5">
        <f t="shared" si="6"/>
        <v>858</v>
      </c>
      <c r="AJ44" s="9" t="s">
        <v>449</v>
      </c>
      <c r="AK44" s="5">
        <f t="shared" si="7"/>
        <v>2978</v>
      </c>
      <c r="AL44" s="4" t="s">
        <v>0</v>
      </c>
    </row>
    <row r="45" spans="1:38" x14ac:dyDescent="0.3">
      <c r="A45">
        <v>1</v>
      </c>
      <c r="B45" t="s">
        <v>104</v>
      </c>
      <c r="C45" t="s">
        <v>71</v>
      </c>
      <c r="D45" s="29">
        <v>51.240257050765003</v>
      </c>
      <c r="E45" s="9">
        <v>4.3847901650000001</v>
      </c>
      <c r="F45" s="3">
        <v>3381</v>
      </c>
      <c r="G45" s="3">
        <v>13350</v>
      </c>
      <c r="H45" s="3">
        <v>1810</v>
      </c>
      <c r="I45" s="3">
        <v>1400</v>
      </c>
      <c r="J45" s="32">
        <v>9350</v>
      </c>
      <c r="K45" s="32">
        <v>7830</v>
      </c>
      <c r="L45" s="32">
        <v>3887</v>
      </c>
      <c r="M45" s="32">
        <v>2625</v>
      </c>
      <c r="N45" s="10" t="s">
        <v>432</v>
      </c>
      <c r="O45" s="5">
        <f t="shared" si="1"/>
        <v>1400</v>
      </c>
      <c r="P45" s="4" t="s">
        <v>0</v>
      </c>
      <c r="Q45" s="5">
        <f t="shared" si="2"/>
        <v>1400</v>
      </c>
      <c r="R45" s="4" t="s">
        <v>0</v>
      </c>
      <c r="S45" s="5">
        <f t="shared" si="3"/>
        <v>1810</v>
      </c>
      <c r="T45" s="4" t="s">
        <v>0</v>
      </c>
      <c r="U45" s="5">
        <f t="shared" si="0"/>
        <v>3381</v>
      </c>
      <c r="V45" s="4" t="s">
        <v>0</v>
      </c>
      <c r="W45">
        <f>MIN(J45:M45)</f>
        <v>2625</v>
      </c>
      <c r="X45" s="4" t="s">
        <v>0</v>
      </c>
      <c r="Y45">
        <f>MIN(J45:K45,M45)</f>
        <v>2625</v>
      </c>
      <c r="Z45" s="4" t="s">
        <v>0</v>
      </c>
      <c r="AA45">
        <f>MIN(J45:L45)</f>
        <v>3887</v>
      </c>
      <c r="AB45" s="4" t="s">
        <v>0</v>
      </c>
      <c r="AC45" s="5">
        <f>MIN(J45:K45)</f>
        <v>7830</v>
      </c>
      <c r="AD45" s="4" t="s">
        <v>0</v>
      </c>
      <c r="AE45" s="5">
        <f t="shared" si="4"/>
        <v>1400</v>
      </c>
      <c r="AF45" s="4" t="s">
        <v>0</v>
      </c>
      <c r="AG45" s="5">
        <f t="shared" si="5"/>
        <v>1400</v>
      </c>
      <c r="AH45" s="4" t="s">
        <v>0</v>
      </c>
      <c r="AI45" s="5">
        <f t="shared" si="6"/>
        <v>1810</v>
      </c>
      <c r="AJ45" s="4" t="s">
        <v>0</v>
      </c>
      <c r="AK45" s="5">
        <f t="shared" si="7"/>
        <v>3381</v>
      </c>
      <c r="AL45" s="4" t="s">
        <v>0</v>
      </c>
    </row>
    <row r="46" spans="1:38" x14ac:dyDescent="0.3">
      <c r="A46">
        <v>1</v>
      </c>
      <c r="B46" t="s">
        <v>72</v>
      </c>
      <c r="C46" t="s">
        <v>73</v>
      </c>
      <c r="D46" s="30">
        <v>51.249890600997503</v>
      </c>
      <c r="E46" s="3">
        <v>4.3109073640000002</v>
      </c>
      <c r="F46" s="3">
        <v>9340</v>
      </c>
      <c r="G46" s="3">
        <v>19150</v>
      </c>
      <c r="H46" s="3">
        <v>6260</v>
      </c>
      <c r="I46" s="3">
        <v>5225</v>
      </c>
      <c r="J46" s="32">
        <v>4050</v>
      </c>
      <c r="K46" s="32">
        <v>1950</v>
      </c>
      <c r="L46" s="32">
        <v>2604</v>
      </c>
      <c r="M46" s="32">
        <v>3039</v>
      </c>
      <c r="N46" s="10" t="s">
        <v>432</v>
      </c>
      <c r="O46" s="5">
        <f t="shared" si="1"/>
        <v>1950</v>
      </c>
      <c r="P46" s="4" t="s">
        <v>0</v>
      </c>
      <c r="Q46" s="5">
        <f t="shared" si="2"/>
        <v>1950</v>
      </c>
      <c r="R46" s="4" t="s">
        <v>0</v>
      </c>
      <c r="S46" s="5">
        <f t="shared" si="3"/>
        <v>1950</v>
      </c>
      <c r="T46" s="4" t="s">
        <v>0</v>
      </c>
      <c r="U46" s="5">
        <f t="shared" si="0"/>
        <v>1950</v>
      </c>
      <c r="V46" s="14" t="s">
        <v>449</v>
      </c>
      <c r="W46" s="5">
        <f>MIN(J46:M46)</f>
        <v>1950</v>
      </c>
      <c r="X46" s="4" t="s">
        <v>0</v>
      </c>
      <c r="Y46" s="5">
        <f>MIN(J46:K46,M46)</f>
        <v>1950</v>
      </c>
      <c r="Z46" s="4" t="s">
        <v>0</v>
      </c>
      <c r="AA46" s="5">
        <f>MIN(J46:L46)</f>
        <v>1950</v>
      </c>
      <c r="AB46" s="4" t="s">
        <v>0</v>
      </c>
      <c r="AC46" s="5">
        <f>MIN(J46:K46)</f>
        <v>1950</v>
      </c>
      <c r="AD46" s="14" t="s">
        <v>449</v>
      </c>
      <c r="AE46" s="5">
        <f t="shared" si="4"/>
        <v>1950</v>
      </c>
      <c r="AF46" s="4" t="s">
        <v>0</v>
      </c>
      <c r="AG46" s="5">
        <f t="shared" si="5"/>
        <v>1950</v>
      </c>
      <c r="AH46" s="4" t="s">
        <v>0</v>
      </c>
      <c r="AI46" s="5">
        <f t="shared" si="6"/>
        <v>1950</v>
      </c>
      <c r="AJ46" s="4" t="s">
        <v>0</v>
      </c>
      <c r="AK46" s="5">
        <f t="shared" si="7"/>
        <v>1950</v>
      </c>
      <c r="AL46" s="14" t="s">
        <v>449</v>
      </c>
    </row>
    <row r="47" spans="1:38" x14ac:dyDescent="0.3">
      <c r="A47">
        <v>1</v>
      </c>
      <c r="B47" t="s">
        <v>74</v>
      </c>
      <c r="C47" t="s">
        <v>75</v>
      </c>
      <c r="D47" s="30">
        <v>51.268097715301998</v>
      </c>
      <c r="E47" s="3">
        <v>4.2988790269999999</v>
      </c>
      <c r="F47" s="32">
        <v>3460</v>
      </c>
      <c r="G47" s="32">
        <v>2350</v>
      </c>
      <c r="H47" s="32">
        <v>2183</v>
      </c>
      <c r="I47" s="32">
        <v>2606</v>
      </c>
      <c r="J47" s="32" t="s">
        <v>413</v>
      </c>
      <c r="K47" s="32">
        <v>7150</v>
      </c>
      <c r="L47" s="32">
        <v>15090</v>
      </c>
      <c r="M47" s="32">
        <v>15084</v>
      </c>
      <c r="N47" t="s">
        <v>434</v>
      </c>
      <c r="O47">
        <f t="shared" si="1"/>
        <v>2183</v>
      </c>
      <c r="P47" s="4" t="s">
        <v>0</v>
      </c>
      <c r="Q47" s="5">
        <f t="shared" si="2"/>
        <v>2350</v>
      </c>
      <c r="R47" s="4" t="s">
        <v>0</v>
      </c>
      <c r="S47">
        <f t="shared" si="3"/>
        <v>2183</v>
      </c>
      <c r="T47" s="4" t="s">
        <v>0</v>
      </c>
      <c r="U47" s="5">
        <f t="shared" si="0"/>
        <v>2350</v>
      </c>
      <c r="V47" s="4" t="s">
        <v>0</v>
      </c>
      <c r="W47">
        <f>MIN(F47:M47)</f>
        <v>2183</v>
      </c>
      <c r="X47" s="4" t="s">
        <v>0</v>
      </c>
      <c r="Y47" s="5">
        <f>MIN(F47:G47,I47:K47,M47)</f>
        <v>2350</v>
      </c>
      <c r="Z47" s="4" t="s">
        <v>0</v>
      </c>
      <c r="AA47">
        <f>MIN(F47:H47,J47:L47)</f>
        <v>2183</v>
      </c>
      <c r="AB47" s="4" t="s">
        <v>0</v>
      </c>
      <c r="AC47" s="5">
        <f>MIN(F47:G47,J47:K47)</f>
        <v>2350</v>
      </c>
      <c r="AD47" s="14" t="s">
        <v>449</v>
      </c>
      <c r="AE47">
        <f t="shared" si="4"/>
        <v>2183</v>
      </c>
      <c r="AF47" s="4" t="s">
        <v>0</v>
      </c>
      <c r="AG47" s="5">
        <f t="shared" si="5"/>
        <v>2350</v>
      </c>
      <c r="AH47" s="4" t="s">
        <v>0</v>
      </c>
      <c r="AI47">
        <f t="shared" si="6"/>
        <v>2183</v>
      </c>
      <c r="AJ47" s="4" t="s">
        <v>0</v>
      </c>
      <c r="AK47" s="5">
        <f t="shared" si="7"/>
        <v>2350</v>
      </c>
      <c r="AL47" s="14" t="s">
        <v>449</v>
      </c>
    </row>
    <row r="48" spans="1:38" x14ac:dyDescent="0.3">
      <c r="A48">
        <v>1</v>
      </c>
      <c r="B48" t="s">
        <v>80</v>
      </c>
      <c r="C48" t="s">
        <v>77</v>
      </c>
      <c r="D48" s="29">
        <v>51.286917000000003</v>
      </c>
      <c r="E48" s="9">
        <v>4.3145829999999998</v>
      </c>
      <c r="F48" s="3">
        <v>5960</v>
      </c>
      <c r="G48" s="3">
        <v>4850</v>
      </c>
      <c r="H48" s="3">
        <v>4683</v>
      </c>
      <c r="I48" s="3">
        <v>5106</v>
      </c>
      <c r="J48" s="32" t="s">
        <v>413</v>
      </c>
      <c r="K48" s="32">
        <v>4650</v>
      </c>
      <c r="L48" s="32">
        <v>12590</v>
      </c>
      <c r="M48" s="32">
        <v>12584</v>
      </c>
      <c r="N48" t="s">
        <v>432</v>
      </c>
      <c r="O48" s="5">
        <f t="shared" si="1"/>
        <v>4650</v>
      </c>
      <c r="P48" s="4" t="s">
        <v>0</v>
      </c>
      <c r="Q48" s="5">
        <f t="shared" si="2"/>
        <v>4650</v>
      </c>
      <c r="R48" s="4" t="s">
        <v>0</v>
      </c>
      <c r="S48" s="5">
        <f t="shared" si="3"/>
        <v>4650</v>
      </c>
      <c r="T48" s="4" t="s">
        <v>0</v>
      </c>
      <c r="U48" s="5">
        <f t="shared" si="0"/>
        <v>4650</v>
      </c>
      <c r="V48" s="4" t="s">
        <v>0</v>
      </c>
      <c r="W48" s="5">
        <f>MIN(J48:M48)</f>
        <v>4650</v>
      </c>
      <c r="X48" s="4" t="s">
        <v>0</v>
      </c>
      <c r="Y48" s="5">
        <f>MIN(J48:K48,M48)</f>
        <v>4650</v>
      </c>
      <c r="Z48" s="4" t="s">
        <v>0</v>
      </c>
      <c r="AA48" s="5">
        <f>MIN(J48:L48)</f>
        <v>4650</v>
      </c>
      <c r="AB48" s="4" t="s">
        <v>0</v>
      </c>
      <c r="AC48" s="5">
        <f>MIN(J48:K48)</f>
        <v>4650</v>
      </c>
      <c r="AD48" s="4" t="s">
        <v>0</v>
      </c>
      <c r="AE48" s="5">
        <f t="shared" si="4"/>
        <v>4650</v>
      </c>
      <c r="AF48" s="4" t="s">
        <v>0</v>
      </c>
      <c r="AG48" s="5">
        <f t="shared" si="5"/>
        <v>4650</v>
      </c>
      <c r="AH48" s="4" t="s">
        <v>0</v>
      </c>
      <c r="AI48" s="5">
        <f t="shared" si="6"/>
        <v>4650</v>
      </c>
      <c r="AJ48" s="4" t="s">
        <v>0</v>
      </c>
      <c r="AK48" s="5">
        <f t="shared" si="7"/>
        <v>4650</v>
      </c>
      <c r="AL48" s="4" t="s">
        <v>0</v>
      </c>
    </row>
    <row r="49" spans="1:38" x14ac:dyDescent="0.3">
      <c r="A49">
        <v>1</v>
      </c>
      <c r="B49" t="s">
        <v>78</v>
      </c>
      <c r="C49" t="s">
        <v>79</v>
      </c>
      <c r="D49" s="29">
        <v>51.299182999999999</v>
      </c>
      <c r="E49" s="9">
        <v>4.3012329999999999</v>
      </c>
      <c r="F49" s="3">
        <v>7660</v>
      </c>
      <c r="G49" s="3">
        <v>6550</v>
      </c>
      <c r="H49" s="3">
        <v>6383</v>
      </c>
      <c r="I49" s="3">
        <v>6806</v>
      </c>
      <c r="J49" s="32" t="s">
        <v>413</v>
      </c>
      <c r="K49" s="32">
        <v>2950</v>
      </c>
      <c r="L49" s="32">
        <v>10890</v>
      </c>
      <c r="M49" s="32">
        <v>10884</v>
      </c>
      <c r="N49" t="s">
        <v>432</v>
      </c>
      <c r="O49" s="5">
        <f t="shared" si="1"/>
        <v>2950</v>
      </c>
      <c r="P49" s="4" t="s">
        <v>0</v>
      </c>
      <c r="Q49" s="5">
        <f t="shared" si="2"/>
        <v>2950</v>
      </c>
      <c r="R49" s="4" t="s">
        <v>0</v>
      </c>
      <c r="S49" s="5">
        <f t="shared" si="3"/>
        <v>2950</v>
      </c>
      <c r="T49" s="4" t="s">
        <v>0</v>
      </c>
      <c r="U49" s="5">
        <f t="shared" si="0"/>
        <v>2950</v>
      </c>
      <c r="V49" s="4" t="s">
        <v>0</v>
      </c>
      <c r="W49" s="5">
        <f>MIN(J49:M49)</f>
        <v>2950</v>
      </c>
      <c r="X49" s="4" t="s">
        <v>0</v>
      </c>
      <c r="Y49" s="5">
        <f>MIN(J49:K49,M49)</f>
        <v>2950</v>
      </c>
      <c r="Z49" s="4" t="s">
        <v>0</v>
      </c>
      <c r="AA49" s="5">
        <f>MIN(J49:L49)</f>
        <v>2950</v>
      </c>
      <c r="AB49" s="4" t="s">
        <v>0</v>
      </c>
      <c r="AC49" s="5">
        <f>MIN(J49:K49)</f>
        <v>2950</v>
      </c>
      <c r="AD49" s="4" t="s">
        <v>0</v>
      </c>
      <c r="AE49" s="5">
        <f t="shared" si="4"/>
        <v>2950</v>
      </c>
      <c r="AF49" s="4" t="s">
        <v>0</v>
      </c>
      <c r="AG49" s="5">
        <f t="shared" si="5"/>
        <v>2950</v>
      </c>
      <c r="AH49" s="4" t="s">
        <v>0</v>
      </c>
      <c r="AI49" s="5">
        <f t="shared" si="6"/>
        <v>2950</v>
      </c>
      <c r="AJ49" s="4" t="s">
        <v>0</v>
      </c>
      <c r="AK49" s="5">
        <f t="shared" si="7"/>
        <v>2950</v>
      </c>
      <c r="AL49" s="4" t="s">
        <v>0</v>
      </c>
    </row>
    <row r="50" spans="1:38" x14ac:dyDescent="0.3">
      <c r="A50">
        <v>1</v>
      </c>
      <c r="B50" t="s">
        <v>76</v>
      </c>
      <c r="C50" t="s">
        <v>81</v>
      </c>
      <c r="D50" s="30">
        <v>51.302831880575503</v>
      </c>
      <c r="E50" s="3">
        <v>4.285691462</v>
      </c>
      <c r="F50" s="3">
        <v>8860</v>
      </c>
      <c r="G50" s="3">
        <v>7750</v>
      </c>
      <c r="H50" s="3">
        <v>7583</v>
      </c>
      <c r="I50" s="3">
        <v>8006</v>
      </c>
      <c r="J50" s="32" t="s">
        <v>413</v>
      </c>
      <c r="K50" s="32">
        <v>1750</v>
      </c>
      <c r="L50" s="32">
        <v>9690</v>
      </c>
      <c r="M50" s="32">
        <v>9684</v>
      </c>
      <c r="N50" t="s">
        <v>432</v>
      </c>
      <c r="O50" s="5">
        <f t="shared" si="1"/>
        <v>1750</v>
      </c>
      <c r="P50" s="4" t="s">
        <v>0</v>
      </c>
      <c r="Q50" s="5">
        <f t="shared" si="2"/>
        <v>1750</v>
      </c>
      <c r="R50" s="4" t="s">
        <v>0</v>
      </c>
      <c r="S50" s="5">
        <f t="shared" si="3"/>
        <v>1750</v>
      </c>
      <c r="T50" s="4" t="s">
        <v>0</v>
      </c>
      <c r="U50" s="5">
        <f t="shared" si="0"/>
        <v>1750</v>
      </c>
      <c r="V50" s="14" t="s">
        <v>449</v>
      </c>
      <c r="W50" s="5">
        <f>MIN(J50:M50)</f>
        <v>1750</v>
      </c>
      <c r="X50" s="4" t="s">
        <v>0</v>
      </c>
      <c r="Y50" s="5">
        <f>MIN(J50:K50,M50)</f>
        <v>1750</v>
      </c>
      <c r="Z50" s="4" t="s">
        <v>0</v>
      </c>
      <c r="AA50" s="5">
        <f>MIN(J50:L50)</f>
        <v>1750</v>
      </c>
      <c r="AB50" s="4" t="s">
        <v>0</v>
      </c>
      <c r="AC50" s="5">
        <f>MIN(J50:K50)</f>
        <v>1750</v>
      </c>
      <c r="AD50" s="14" t="s">
        <v>449</v>
      </c>
      <c r="AE50" s="5">
        <f t="shared" si="4"/>
        <v>1750</v>
      </c>
      <c r="AF50" s="4" t="s">
        <v>0</v>
      </c>
      <c r="AG50" s="5">
        <f t="shared" si="5"/>
        <v>1750</v>
      </c>
      <c r="AH50" s="4" t="s">
        <v>0</v>
      </c>
      <c r="AI50" s="5">
        <f t="shared" si="6"/>
        <v>1750</v>
      </c>
      <c r="AJ50" s="4" t="s">
        <v>0</v>
      </c>
      <c r="AK50" s="5">
        <f t="shared" si="7"/>
        <v>1750</v>
      </c>
      <c r="AL50" s="14" t="s">
        <v>449</v>
      </c>
    </row>
    <row r="51" spans="1:38" x14ac:dyDescent="0.3">
      <c r="A51">
        <v>1</v>
      </c>
      <c r="B51" t="s">
        <v>82</v>
      </c>
      <c r="C51" t="s">
        <v>83</v>
      </c>
      <c r="D51" s="29">
        <v>51.314639999999997</v>
      </c>
      <c r="E51" s="9">
        <v>4.2760879999999997</v>
      </c>
      <c r="F51" s="3">
        <v>10610</v>
      </c>
      <c r="G51" s="3">
        <v>1127</v>
      </c>
      <c r="H51" s="3">
        <v>9333</v>
      </c>
      <c r="I51" s="3">
        <v>9756</v>
      </c>
      <c r="J51" s="32" t="s">
        <v>413</v>
      </c>
      <c r="K51" s="32" t="s">
        <v>413</v>
      </c>
      <c r="L51" s="32">
        <v>7940</v>
      </c>
      <c r="M51" s="32">
        <v>7934</v>
      </c>
      <c r="N51" t="s">
        <v>432</v>
      </c>
      <c r="O51" s="5">
        <f t="shared" si="1"/>
        <v>1127</v>
      </c>
      <c r="P51" s="4" t="s">
        <v>0</v>
      </c>
      <c r="Q51" s="5">
        <f>MIN(F51:G51,I51:K51,M51)</f>
        <v>1127</v>
      </c>
      <c r="R51" s="4" t="s">
        <v>0</v>
      </c>
      <c r="S51" s="5">
        <f>MIN(F51:H51,J51:L51)</f>
        <v>1127</v>
      </c>
      <c r="T51" s="14" t="s">
        <v>449</v>
      </c>
      <c r="U51" s="5">
        <f t="shared" si="0"/>
        <v>1127</v>
      </c>
      <c r="V51" s="14" t="s">
        <v>449</v>
      </c>
      <c r="W51" s="5">
        <f>MIN(J51:M51)</f>
        <v>7934</v>
      </c>
      <c r="X51" s="4" t="s">
        <v>0</v>
      </c>
      <c r="Y51" s="5">
        <f>MIN(J51:K51,M51)</f>
        <v>7934</v>
      </c>
      <c r="Z51" s="4" t="s">
        <v>0</v>
      </c>
      <c r="AA51" s="5">
        <f>MIN(J51:L51)</f>
        <v>7940</v>
      </c>
      <c r="AB51" s="4" t="s">
        <v>0</v>
      </c>
      <c r="AC51" t="s">
        <v>413</v>
      </c>
      <c r="AD51" s="9" t="s">
        <v>0</v>
      </c>
      <c r="AE51" s="5">
        <f t="shared" si="4"/>
        <v>1127</v>
      </c>
      <c r="AF51" s="4" t="s">
        <v>0</v>
      </c>
      <c r="AG51" s="5">
        <f t="shared" si="5"/>
        <v>1127</v>
      </c>
      <c r="AH51" s="4" t="s">
        <v>0</v>
      </c>
      <c r="AI51" s="5">
        <f t="shared" si="6"/>
        <v>1127</v>
      </c>
      <c r="AJ51" s="14" t="s">
        <v>449</v>
      </c>
      <c r="AK51" s="5">
        <f t="shared" si="7"/>
        <v>1127</v>
      </c>
      <c r="AL51" s="14" t="s">
        <v>449</v>
      </c>
    </row>
    <row r="52" spans="1:38" x14ac:dyDescent="0.3">
      <c r="A52" s="5"/>
      <c r="B52" s="5"/>
      <c r="C52" s="5"/>
      <c r="D52" s="31"/>
      <c r="E52" s="3"/>
      <c r="F52" s="3"/>
      <c r="G52" s="3"/>
      <c r="H52" s="3"/>
      <c r="I52" s="3"/>
      <c r="J52" s="3"/>
      <c r="K52" s="3"/>
      <c r="L52" s="3"/>
      <c r="M52" s="3"/>
      <c r="P52" s="14"/>
      <c r="R52" s="14"/>
      <c r="T52" s="14"/>
    </row>
    <row r="53" spans="1:38" x14ac:dyDescent="0.3">
      <c r="A53" s="5"/>
      <c r="B53" s="5"/>
      <c r="C53" s="5"/>
      <c r="D53" s="31"/>
      <c r="E53" s="3"/>
      <c r="F53" s="3"/>
      <c r="G53" s="3"/>
      <c r="H53" s="3"/>
      <c r="I53" s="3"/>
      <c r="J53" s="3"/>
      <c r="K53" s="3"/>
      <c r="L53" s="3"/>
      <c r="M53" s="3"/>
      <c r="P53" s="14"/>
      <c r="R53" s="14"/>
      <c r="T53" s="14"/>
    </row>
    <row r="54" spans="1:38" x14ac:dyDescent="0.3">
      <c r="E54" s="3"/>
      <c r="F54" s="58" t="s">
        <v>412</v>
      </c>
      <c r="G54" s="58"/>
      <c r="H54" s="58"/>
      <c r="I54" s="58"/>
      <c r="J54" s="58"/>
      <c r="K54" s="58"/>
      <c r="L54" s="58"/>
      <c r="M54" s="58"/>
      <c r="P54" s="14"/>
      <c r="R54" s="14"/>
      <c r="T54" s="14"/>
    </row>
    <row r="55" spans="1:38" x14ac:dyDescent="0.3">
      <c r="E55" s="3"/>
      <c r="F55" s="58" t="s">
        <v>410</v>
      </c>
      <c r="G55" s="58"/>
      <c r="H55" s="58"/>
      <c r="I55" s="58"/>
      <c r="J55" s="58" t="s">
        <v>411</v>
      </c>
      <c r="K55" s="58"/>
      <c r="L55" s="58"/>
      <c r="M55" s="58"/>
      <c r="P55" s="14"/>
      <c r="R55" s="14"/>
      <c r="T55" s="14"/>
    </row>
    <row r="56" spans="1:38" x14ac:dyDescent="0.3">
      <c r="A56" t="s">
        <v>102</v>
      </c>
      <c r="B56" t="s">
        <v>1</v>
      </c>
      <c r="C56" t="s">
        <v>4</v>
      </c>
      <c r="D56" t="s">
        <v>403</v>
      </c>
      <c r="E56" s="3" t="s">
        <v>404</v>
      </c>
      <c r="F56" s="3" t="s">
        <v>408</v>
      </c>
      <c r="G56" s="3" t="s">
        <v>409</v>
      </c>
      <c r="H56" s="3" t="s">
        <v>406</v>
      </c>
      <c r="I56" s="3" t="s">
        <v>405</v>
      </c>
      <c r="J56" s="3" t="s">
        <v>408</v>
      </c>
      <c r="K56" s="3" t="s">
        <v>409</v>
      </c>
      <c r="L56" s="3" t="s">
        <v>406</v>
      </c>
      <c r="M56" s="3" t="s">
        <v>405</v>
      </c>
      <c r="N56" t="s">
        <v>446</v>
      </c>
      <c r="O56" t="s">
        <v>448</v>
      </c>
      <c r="P56" s="4" t="s">
        <v>462</v>
      </c>
      <c r="Q56" t="s">
        <v>451</v>
      </c>
      <c r="R56" s="9" t="s">
        <v>463</v>
      </c>
      <c r="S56" t="s">
        <v>453</v>
      </c>
      <c r="T56" s="9" t="s">
        <v>464</v>
      </c>
      <c r="U56" t="s">
        <v>452</v>
      </c>
      <c r="V56" s="9" t="s">
        <v>465</v>
      </c>
      <c r="W56" t="s">
        <v>454</v>
      </c>
      <c r="X56" s="9" t="s">
        <v>466</v>
      </c>
      <c r="Y56" t="s">
        <v>455</v>
      </c>
      <c r="Z56" s="9" t="s">
        <v>467</v>
      </c>
      <c r="AA56" t="s">
        <v>456</v>
      </c>
      <c r="AB56" s="9" t="s">
        <v>468</v>
      </c>
      <c r="AC56" t="s">
        <v>457</v>
      </c>
      <c r="AD56" s="9" t="s">
        <v>469</v>
      </c>
      <c r="AE56" t="s">
        <v>458</v>
      </c>
      <c r="AF56" s="9" t="s">
        <v>470</v>
      </c>
      <c r="AG56" t="s">
        <v>459</v>
      </c>
      <c r="AH56" s="9" t="s">
        <v>471</v>
      </c>
      <c r="AI56" t="s">
        <v>460</v>
      </c>
      <c r="AJ56" s="9" t="s">
        <v>472</v>
      </c>
      <c r="AK56" t="s">
        <v>461</v>
      </c>
      <c r="AL56" s="9" t="s">
        <v>473</v>
      </c>
    </row>
    <row r="57" spans="1:38" x14ac:dyDescent="0.3">
      <c r="A57">
        <v>2</v>
      </c>
      <c r="B57" t="s">
        <v>103</v>
      </c>
      <c r="C57" t="s">
        <v>33</v>
      </c>
      <c r="D57" s="29">
        <v>51.004379999999998</v>
      </c>
      <c r="E57" s="9">
        <v>3.80538</v>
      </c>
      <c r="F57" s="3">
        <v>6200</v>
      </c>
      <c r="G57" s="3">
        <v>3325.25</v>
      </c>
      <c r="H57" s="3">
        <v>13.18</v>
      </c>
      <c r="I57" s="3">
        <v>273.10000000000002</v>
      </c>
      <c r="J57" s="32">
        <v>5400</v>
      </c>
      <c r="K57" s="32">
        <v>1500</v>
      </c>
      <c r="L57" s="32">
        <v>174.45</v>
      </c>
      <c r="M57" s="32">
        <v>183.21</v>
      </c>
      <c r="N57" t="s">
        <v>432</v>
      </c>
      <c r="O57">
        <f>MIN(F57:M57)</f>
        <v>13.18</v>
      </c>
      <c r="P57" s="9" t="s">
        <v>449</v>
      </c>
      <c r="Q57">
        <f>MIN(F57:G57,I57:K57,M57)</f>
        <v>183.21</v>
      </c>
      <c r="R57" s="9" t="s">
        <v>449</v>
      </c>
      <c r="S57">
        <f>MIN(F57:H57,J57:L57)</f>
        <v>13.18</v>
      </c>
      <c r="T57" s="9" t="s">
        <v>449</v>
      </c>
      <c r="U57">
        <f t="shared" ref="U57:U79" si="8">MIN(F57:G57,J57:K57)</f>
        <v>1500</v>
      </c>
      <c r="V57" s="4" t="s">
        <v>449</v>
      </c>
      <c r="W57">
        <f>MIN(J57:M57)</f>
        <v>174.45</v>
      </c>
      <c r="X57" s="4" t="s">
        <v>449</v>
      </c>
      <c r="Y57">
        <f>MIN(J57:K57,M57)</f>
        <v>183.21</v>
      </c>
      <c r="Z57" s="4" t="s">
        <v>449</v>
      </c>
      <c r="AA57">
        <f>MIN(J57:L57)</f>
        <v>174.45</v>
      </c>
      <c r="AB57" s="4" t="s">
        <v>449</v>
      </c>
      <c r="AC57">
        <f>MIN(J57:K57)</f>
        <v>1500</v>
      </c>
      <c r="AD57" s="4" t="s">
        <v>449</v>
      </c>
      <c r="AE57">
        <f>MIN(F57:M57)</f>
        <v>13.18</v>
      </c>
      <c r="AF57" s="4" t="s">
        <v>449</v>
      </c>
      <c r="AG57">
        <f>MIN(F57:G57,I57:K57,M57)</f>
        <v>183.21</v>
      </c>
      <c r="AH57" s="4" t="s">
        <v>449</v>
      </c>
      <c r="AI57">
        <f>MIN(F57:H57,J57:L57)</f>
        <v>13.18</v>
      </c>
      <c r="AJ57" s="4" t="s">
        <v>449</v>
      </c>
      <c r="AK57">
        <f>MIN(F57:G57,J57:K57)</f>
        <v>1500</v>
      </c>
      <c r="AL57" s="4" t="s">
        <v>449</v>
      </c>
    </row>
    <row r="58" spans="1:38" x14ac:dyDescent="0.3">
      <c r="A58">
        <v>2</v>
      </c>
      <c r="B58" t="s">
        <v>37</v>
      </c>
      <c r="C58" t="s">
        <v>38</v>
      </c>
      <c r="D58" s="30">
        <v>51.0081621411219</v>
      </c>
      <c r="E58" s="3">
        <v>3.87967905</v>
      </c>
      <c r="F58" s="3">
        <v>753.27</v>
      </c>
      <c r="G58" s="3">
        <v>5000</v>
      </c>
      <c r="H58" s="3">
        <v>2200</v>
      </c>
      <c r="I58" s="3">
        <v>829.29</v>
      </c>
      <c r="J58" s="32">
        <v>695.1</v>
      </c>
      <c r="K58" s="32">
        <v>13100</v>
      </c>
      <c r="L58" s="32">
        <v>466.56</v>
      </c>
      <c r="M58" s="32">
        <v>398.41</v>
      </c>
      <c r="N58" t="s">
        <v>432</v>
      </c>
      <c r="O58">
        <f t="shared" ref="O58:O79" si="9">MIN(F58:M58)</f>
        <v>398.41</v>
      </c>
      <c r="P58" s="9" t="s">
        <v>449</v>
      </c>
      <c r="Q58">
        <f t="shared" si="2"/>
        <v>398.41</v>
      </c>
      <c r="R58" s="9" t="s">
        <v>449</v>
      </c>
      <c r="S58">
        <f t="shared" si="3"/>
        <v>466.56</v>
      </c>
      <c r="T58" s="9" t="s">
        <v>449</v>
      </c>
      <c r="U58">
        <f t="shared" si="8"/>
        <v>695.1</v>
      </c>
      <c r="V58" s="4" t="s">
        <v>449</v>
      </c>
      <c r="W58">
        <f>MIN(J58:M58)</f>
        <v>398.41</v>
      </c>
      <c r="X58" s="4" t="s">
        <v>449</v>
      </c>
      <c r="Y58">
        <f>MIN(J58:K58,M58)</f>
        <v>398.41</v>
      </c>
      <c r="Z58" s="4" t="s">
        <v>449</v>
      </c>
      <c r="AA58">
        <f>MIN(J58:L58)</f>
        <v>466.56</v>
      </c>
      <c r="AB58" s="4" t="s">
        <v>449</v>
      </c>
      <c r="AC58">
        <f>MIN(J58:K58)</f>
        <v>695.1</v>
      </c>
      <c r="AD58" s="4" t="s">
        <v>449</v>
      </c>
      <c r="AE58">
        <f>MIN(F58:M58)</f>
        <v>398.41</v>
      </c>
      <c r="AF58" s="4" t="s">
        <v>449</v>
      </c>
      <c r="AG58">
        <f>MIN(F58:G58,I58:K58,M58)</f>
        <v>398.41</v>
      </c>
      <c r="AH58" s="4" t="s">
        <v>449</v>
      </c>
      <c r="AI58">
        <f>MIN(F58:H58,J58:L58)</f>
        <v>466.56</v>
      </c>
      <c r="AJ58" s="4" t="s">
        <v>449</v>
      </c>
      <c r="AK58">
        <f>MIN(F58:G58,J58:K58)</f>
        <v>695.1</v>
      </c>
      <c r="AL58" s="4" t="s">
        <v>449</v>
      </c>
    </row>
    <row r="59" spans="1:38" x14ac:dyDescent="0.3">
      <c r="A59">
        <v>2</v>
      </c>
      <c r="B59" t="s">
        <v>40</v>
      </c>
      <c r="C59" t="s">
        <v>41</v>
      </c>
      <c r="D59" s="30">
        <v>51.013137216075798</v>
      </c>
      <c r="E59" s="3">
        <v>3.9307155050000002</v>
      </c>
      <c r="F59" s="32">
        <v>185.55</v>
      </c>
      <c r="G59" s="32">
        <v>9000</v>
      </c>
      <c r="H59" s="32">
        <v>95.15</v>
      </c>
      <c r="I59" s="32">
        <v>1000</v>
      </c>
      <c r="J59" s="3">
        <v>2223.31</v>
      </c>
      <c r="K59" s="3">
        <v>9100</v>
      </c>
      <c r="L59" s="3">
        <v>841.49</v>
      </c>
      <c r="M59" s="3">
        <v>675.22</v>
      </c>
      <c r="N59" t="s">
        <v>433</v>
      </c>
      <c r="O59">
        <f t="shared" si="9"/>
        <v>95.15</v>
      </c>
      <c r="P59" s="9" t="s">
        <v>449</v>
      </c>
      <c r="Q59" s="5">
        <f t="shared" si="2"/>
        <v>185.55</v>
      </c>
      <c r="R59" s="9" t="s">
        <v>449</v>
      </c>
      <c r="S59">
        <f t="shared" si="3"/>
        <v>95.15</v>
      </c>
      <c r="T59" s="9" t="s">
        <v>449</v>
      </c>
      <c r="U59" s="5">
        <f t="shared" si="8"/>
        <v>185.55</v>
      </c>
      <c r="V59" s="14" t="s">
        <v>449</v>
      </c>
      <c r="W59">
        <f>MIN(F59:I59)</f>
        <v>95.15</v>
      </c>
      <c r="X59" s="4" t="s">
        <v>449</v>
      </c>
      <c r="Y59" s="5">
        <f>MIN(F59:G59,I59)</f>
        <v>185.55</v>
      </c>
      <c r="Z59" s="9" t="s">
        <v>449</v>
      </c>
      <c r="AA59">
        <f>MIN(F59:H59)</f>
        <v>95.15</v>
      </c>
      <c r="AB59" s="4" t="s">
        <v>449</v>
      </c>
      <c r="AC59" s="5">
        <f>MIN(F59:G59)</f>
        <v>185.55</v>
      </c>
      <c r="AD59" s="14" t="s">
        <v>449</v>
      </c>
      <c r="AE59">
        <f>MIN(F59:I59)</f>
        <v>95.15</v>
      </c>
      <c r="AF59" s="4" t="s">
        <v>449</v>
      </c>
      <c r="AG59" s="5">
        <f>MIN(F59:G59,I59)</f>
        <v>185.55</v>
      </c>
      <c r="AH59" s="9" t="s">
        <v>449</v>
      </c>
      <c r="AI59">
        <f>MIN(F59:H59)</f>
        <v>95.15</v>
      </c>
      <c r="AJ59" s="4" t="s">
        <v>449</v>
      </c>
      <c r="AK59" s="5">
        <f>MIN(F59:G59)</f>
        <v>185.55</v>
      </c>
      <c r="AL59" s="14" t="s">
        <v>449</v>
      </c>
    </row>
    <row r="60" spans="1:38" x14ac:dyDescent="0.3">
      <c r="A60">
        <v>2</v>
      </c>
      <c r="B60" t="s">
        <v>43</v>
      </c>
      <c r="C60" t="s">
        <v>44</v>
      </c>
      <c r="D60" s="30">
        <v>51.015227351682299</v>
      </c>
      <c r="E60" s="3">
        <v>3.9737124869999998</v>
      </c>
      <c r="F60" s="32">
        <v>935.35</v>
      </c>
      <c r="G60" s="32">
        <v>14000</v>
      </c>
      <c r="H60" s="32">
        <v>255.76</v>
      </c>
      <c r="I60" s="32">
        <v>3000</v>
      </c>
      <c r="J60" s="3">
        <v>9500</v>
      </c>
      <c r="K60" s="3">
        <v>4100</v>
      </c>
      <c r="L60" s="3">
        <v>936.21</v>
      </c>
      <c r="M60" s="3">
        <v>945.13</v>
      </c>
      <c r="N60" t="s">
        <v>433</v>
      </c>
      <c r="O60">
        <f t="shared" si="9"/>
        <v>255.76</v>
      </c>
      <c r="P60" s="9" t="s">
        <v>449</v>
      </c>
      <c r="Q60" s="5">
        <f t="shared" si="2"/>
        <v>935.35</v>
      </c>
      <c r="R60" s="9" t="s">
        <v>0</v>
      </c>
      <c r="S60">
        <f t="shared" si="3"/>
        <v>255.76</v>
      </c>
      <c r="T60" s="9" t="s">
        <v>449</v>
      </c>
      <c r="U60" s="5">
        <f t="shared" si="8"/>
        <v>935.35</v>
      </c>
      <c r="V60" s="14" t="s">
        <v>449</v>
      </c>
      <c r="W60">
        <f>MIN(F60:I60)</f>
        <v>255.76</v>
      </c>
      <c r="X60" s="4" t="s">
        <v>449</v>
      </c>
      <c r="Y60" s="5">
        <f>MIN(F60:G60,I60)</f>
        <v>935.35</v>
      </c>
      <c r="Z60" s="14" t="s">
        <v>449</v>
      </c>
      <c r="AA60">
        <f>MIN(F60:H60)</f>
        <v>255.76</v>
      </c>
      <c r="AB60" s="4" t="s">
        <v>449</v>
      </c>
      <c r="AC60" s="5">
        <f>MIN(F60:G60)</f>
        <v>935.35</v>
      </c>
      <c r="AD60" s="14" t="s">
        <v>449</v>
      </c>
      <c r="AE60">
        <f>MIN(F60:I60)</f>
        <v>255.76</v>
      </c>
      <c r="AF60" s="4" t="s">
        <v>449</v>
      </c>
      <c r="AG60" s="5">
        <f>MIN(F60:G60,I60)</f>
        <v>935.35</v>
      </c>
      <c r="AH60" s="4" t="s">
        <v>0</v>
      </c>
      <c r="AI60">
        <f>MIN(F60:H60)</f>
        <v>255.76</v>
      </c>
      <c r="AJ60" s="4" t="s">
        <v>449</v>
      </c>
      <c r="AK60" s="5">
        <f>MIN(F60:G60)</f>
        <v>935.35</v>
      </c>
      <c r="AL60" s="14" t="s">
        <v>449</v>
      </c>
    </row>
    <row r="61" spans="1:38" x14ac:dyDescent="0.3">
      <c r="A61">
        <v>2</v>
      </c>
      <c r="B61" t="s">
        <v>45</v>
      </c>
      <c r="C61" t="s">
        <v>46</v>
      </c>
      <c r="D61" s="30">
        <v>51.028756000000001</v>
      </c>
      <c r="E61" s="3">
        <v>4.0412039999999996</v>
      </c>
      <c r="F61" s="32">
        <v>8337</v>
      </c>
      <c r="G61" s="32">
        <v>3648</v>
      </c>
      <c r="H61" s="32">
        <v>2581</v>
      </c>
      <c r="I61" s="32">
        <v>2949.15</v>
      </c>
      <c r="J61" s="3">
        <v>2096.2399999999998</v>
      </c>
      <c r="K61" s="3">
        <v>6000</v>
      </c>
      <c r="L61" s="3">
        <v>2672</v>
      </c>
      <c r="M61" s="3">
        <v>2747.84</v>
      </c>
      <c r="N61" t="s">
        <v>433</v>
      </c>
      <c r="O61">
        <f t="shared" si="9"/>
        <v>2096.2399999999998</v>
      </c>
      <c r="P61" s="9" t="s">
        <v>0</v>
      </c>
      <c r="Q61">
        <f t="shared" si="2"/>
        <v>2096.2399999999998</v>
      </c>
      <c r="R61" s="9" t="s">
        <v>0</v>
      </c>
      <c r="S61">
        <f t="shared" si="3"/>
        <v>2096.2399999999998</v>
      </c>
      <c r="T61" s="9" t="s">
        <v>0</v>
      </c>
      <c r="U61">
        <f t="shared" si="8"/>
        <v>2096.2399999999998</v>
      </c>
      <c r="V61" s="4" t="s">
        <v>0</v>
      </c>
      <c r="W61">
        <f>MIN(F61:I61)</f>
        <v>2581</v>
      </c>
      <c r="X61" s="4" t="s">
        <v>0</v>
      </c>
      <c r="Y61">
        <f>MIN(F61:G61,I61)</f>
        <v>2949.15</v>
      </c>
      <c r="Z61" s="4" t="s">
        <v>0</v>
      </c>
      <c r="AA61">
        <f>MIN(F61:H61)</f>
        <v>2581</v>
      </c>
      <c r="AB61" s="4" t="s">
        <v>0</v>
      </c>
      <c r="AC61" s="5">
        <f>MIN(F61:G61)</f>
        <v>3648</v>
      </c>
      <c r="AD61" s="4" t="s">
        <v>0</v>
      </c>
      <c r="AE61">
        <f>MIN(F61:I61)</f>
        <v>2581</v>
      </c>
      <c r="AF61" s="4" t="s">
        <v>0</v>
      </c>
      <c r="AG61">
        <f>MIN(F61:G61,I61)</f>
        <v>2949.15</v>
      </c>
      <c r="AH61" s="4" t="s">
        <v>0</v>
      </c>
      <c r="AI61">
        <f>MIN(F61:H61)</f>
        <v>2581</v>
      </c>
      <c r="AJ61" s="4" t="s">
        <v>0</v>
      </c>
      <c r="AK61" s="5">
        <f>MIN(F61:G61)</f>
        <v>3648</v>
      </c>
      <c r="AL61" s="4" t="s">
        <v>0</v>
      </c>
    </row>
    <row r="62" spans="1:38" x14ac:dyDescent="0.3">
      <c r="A62">
        <v>2</v>
      </c>
      <c r="B62" t="s">
        <v>48</v>
      </c>
      <c r="C62" t="s">
        <v>49</v>
      </c>
      <c r="D62" s="30">
        <v>51.033887898573298</v>
      </c>
      <c r="E62" s="3">
        <v>4.1039823020000004</v>
      </c>
      <c r="F62" s="32">
        <v>5216.96</v>
      </c>
      <c r="G62" s="32">
        <v>1580</v>
      </c>
      <c r="H62" s="32">
        <v>2210</v>
      </c>
      <c r="I62" s="32">
        <v>290.14999999999998</v>
      </c>
      <c r="J62" s="3">
        <v>12300</v>
      </c>
      <c r="K62" s="3">
        <v>1438.52</v>
      </c>
      <c r="L62" s="3">
        <v>14100</v>
      </c>
      <c r="M62" s="3">
        <v>1235</v>
      </c>
      <c r="N62" t="s">
        <v>433</v>
      </c>
      <c r="O62">
        <f t="shared" si="9"/>
        <v>290.14999999999998</v>
      </c>
      <c r="P62" s="9" t="s">
        <v>449</v>
      </c>
      <c r="Q62">
        <f t="shared" si="2"/>
        <v>290.14999999999998</v>
      </c>
      <c r="R62" s="9" t="s">
        <v>449</v>
      </c>
      <c r="S62" s="5">
        <f t="shared" si="3"/>
        <v>1438.52</v>
      </c>
      <c r="T62" s="9" t="s">
        <v>0</v>
      </c>
      <c r="U62" s="5">
        <f t="shared" si="8"/>
        <v>1438.52</v>
      </c>
      <c r="V62" s="14" t="s">
        <v>449</v>
      </c>
      <c r="W62">
        <f>MIN(F62:I62)</f>
        <v>290.14999999999998</v>
      </c>
      <c r="X62" s="4" t="s">
        <v>449</v>
      </c>
      <c r="Y62">
        <f>MIN(F62:G62,I62)</f>
        <v>290.14999999999998</v>
      </c>
      <c r="Z62" s="4" t="s">
        <v>449</v>
      </c>
      <c r="AA62" s="5">
        <f>MIN(F62:H62)</f>
        <v>1580</v>
      </c>
      <c r="AB62" s="4" t="s">
        <v>0</v>
      </c>
      <c r="AC62" s="5">
        <f>MIN(F62:G62)</f>
        <v>1580</v>
      </c>
      <c r="AD62" s="14" t="s">
        <v>449</v>
      </c>
      <c r="AE62">
        <f>MIN(F62:I62)</f>
        <v>290.14999999999998</v>
      </c>
      <c r="AF62" s="4" t="s">
        <v>449</v>
      </c>
      <c r="AG62">
        <f>MIN(F62:G62,I62)</f>
        <v>290.14999999999998</v>
      </c>
      <c r="AH62" s="4" t="s">
        <v>449</v>
      </c>
      <c r="AI62" s="5">
        <f>MIN(F62:H62)</f>
        <v>1580</v>
      </c>
      <c r="AJ62" s="4" t="s">
        <v>0</v>
      </c>
      <c r="AK62" s="5">
        <f>MIN(F62:G62)</f>
        <v>1580</v>
      </c>
      <c r="AL62" s="14" t="s">
        <v>449</v>
      </c>
    </row>
    <row r="63" spans="1:38" x14ac:dyDescent="0.3">
      <c r="A63">
        <v>2</v>
      </c>
      <c r="B63" t="s">
        <v>51</v>
      </c>
      <c r="C63" t="s">
        <v>52</v>
      </c>
      <c r="D63" s="30">
        <v>51.040182618579998</v>
      </c>
      <c r="E63" s="3">
        <v>4.1653909889999996</v>
      </c>
      <c r="F63" s="3">
        <v>13400</v>
      </c>
      <c r="G63" s="3">
        <v>9700</v>
      </c>
      <c r="H63" s="3">
        <v>1666</v>
      </c>
      <c r="I63" s="3">
        <v>1728</v>
      </c>
      <c r="J63" s="32">
        <v>4102</v>
      </c>
      <c r="K63" s="32">
        <v>1186.77</v>
      </c>
      <c r="L63" s="32">
        <v>5714</v>
      </c>
      <c r="M63" s="32">
        <v>5352</v>
      </c>
      <c r="N63" t="s">
        <v>432</v>
      </c>
      <c r="O63">
        <f t="shared" si="9"/>
        <v>1186.77</v>
      </c>
      <c r="P63" s="9" t="s">
        <v>0</v>
      </c>
      <c r="Q63">
        <f t="shared" si="2"/>
        <v>1186.77</v>
      </c>
      <c r="R63" s="9" t="s">
        <v>0</v>
      </c>
      <c r="S63">
        <f t="shared" si="3"/>
        <v>1186.77</v>
      </c>
      <c r="T63" s="9" t="s">
        <v>449</v>
      </c>
      <c r="U63">
        <f t="shared" si="8"/>
        <v>1186.77</v>
      </c>
      <c r="V63" s="4" t="s">
        <v>449</v>
      </c>
      <c r="W63">
        <f>MIN(J63:M63)</f>
        <v>1186.77</v>
      </c>
      <c r="X63" s="4" t="s">
        <v>449</v>
      </c>
      <c r="Y63">
        <f>MIN(J63:K63,M63)</f>
        <v>1186.77</v>
      </c>
      <c r="Z63" s="4" t="s">
        <v>449</v>
      </c>
      <c r="AA63">
        <f>MIN(J63:L63)</f>
        <v>1186.77</v>
      </c>
      <c r="AB63" s="4" t="s">
        <v>449</v>
      </c>
      <c r="AC63">
        <f>MIN(J63:K63)</f>
        <v>1186.77</v>
      </c>
      <c r="AD63" s="9" t="s">
        <v>449</v>
      </c>
      <c r="AE63">
        <f>MIN(F63:M63)</f>
        <v>1186.77</v>
      </c>
      <c r="AF63" s="4" t="s">
        <v>0</v>
      </c>
      <c r="AG63">
        <f>MIN(F63:G63,I63:K63,M63)</f>
        <v>1186.77</v>
      </c>
      <c r="AH63" s="4" t="s">
        <v>0</v>
      </c>
      <c r="AI63">
        <f>MIN(F63:H63,J63:L63)</f>
        <v>1186.77</v>
      </c>
      <c r="AJ63" s="4" t="s">
        <v>449</v>
      </c>
      <c r="AK63">
        <f>MIN(F63:G63,J63:K63)</f>
        <v>1186.77</v>
      </c>
      <c r="AL63" s="4" t="s">
        <v>449</v>
      </c>
    </row>
    <row r="64" spans="1:38" x14ac:dyDescent="0.3">
      <c r="A64">
        <v>2</v>
      </c>
      <c r="B64" t="s">
        <v>53</v>
      </c>
      <c r="C64" t="s">
        <v>54</v>
      </c>
      <c r="D64" s="30">
        <v>51.0556886858204</v>
      </c>
      <c r="E64" s="3">
        <v>4.2000242180000003</v>
      </c>
      <c r="F64" s="32">
        <v>879.79</v>
      </c>
      <c r="G64" s="32">
        <v>2989</v>
      </c>
      <c r="H64" s="32">
        <v>6666</v>
      </c>
      <c r="I64" s="32">
        <v>426</v>
      </c>
      <c r="J64" s="3">
        <v>9730</v>
      </c>
      <c r="K64" s="3">
        <v>8452</v>
      </c>
      <c r="L64" s="3">
        <v>755</v>
      </c>
      <c r="M64" s="3">
        <v>560</v>
      </c>
      <c r="N64" t="s">
        <v>433</v>
      </c>
      <c r="O64">
        <f t="shared" si="9"/>
        <v>426</v>
      </c>
      <c r="P64" s="9" t="s">
        <v>449</v>
      </c>
      <c r="Q64">
        <f t="shared" si="2"/>
        <v>426</v>
      </c>
      <c r="R64" s="9" t="s">
        <v>449</v>
      </c>
      <c r="S64">
        <f t="shared" si="3"/>
        <v>755</v>
      </c>
      <c r="T64" s="9" t="s">
        <v>449</v>
      </c>
      <c r="U64">
        <f t="shared" si="8"/>
        <v>879.79</v>
      </c>
      <c r="V64" s="4" t="s">
        <v>449</v>
      </c>
      <c r="W64">
        <f>MIN(F64:I64)</f>
        <v>426</v>
      </c>
      <c r="X64" s="4" t="s">
        <v>449</v>
      </c>
      <c r="Y64">
        <f>MIN(F64:G64,I64)</f>
        <v>426</v>
      </c>
      <c r="Z64" s="4" t="s">
        <v>449</v>
      </c>
      <c r="AA64">
        <f>MIN(F64:H64)</f>
        <v>879.79</v>
      </c>
      <c r="AB64" s="4" t="s">
        <v>449</v>
      </c>
      <c r="AC64">
        <f>MIN(F64:G64)</f>
        <v>879.79</v>
      </c>
      <c r="AD64" s="4" t="s">
        <v>449</v>
      </c>
      <c r="AE64">
        <f>MIN(F64:I64)</f>
        <v>426</v>
      </c>
      <c r="AF64" s="4" t="s">
        <v>449</v>
      </c>
      <c r="AG64">
        <f>MIN(F64:G64,I64)</f>
        <v>426</v>
      </c>
      <c r="AH64" s="4" t="s">
        <v>449</v>
      </c>
      <c r="AI64">
        <f>MIN(F64:H64)</f>
        <v>879.79</v>
      </c>
      <c r="AJ64" s="4" t="s">
        <v>449</v>
      </c>
      <c r="AK64">
        <f>MIN(F64:G64)</f>
        <v>879.79</v>
      </c>
      <c r="AL64" s="4" t="s">
        <v>449</v>
      </c>
    </row>
    <row r="65" spans="1:38" x14ac:dyDescent="0.3">
      <c r="A65">
        <v>2</v>
      </c>
      <c r="B65" t="s">
        <v>55</v>
      </c>
      <c r="C65" t="s">
        <v>56</v>
      </c>
      <c r="D65" s="29">
        <v>51.092241000000001</v>
      </c>
      <c r="E65" s="9">
        <v>4.171176</v>
      </c>
      <c r="F65" s="32">
        <v>6102</v>
      </c>
      <c r="G65" s="32">
        <v>8193</v>
      </c>
      <c r="H65" s="32">
        <v>3053</v>
      </c>
      <c r="I65" s="32">
        <v>718</v>
      </c>
      <c r="J65" s="3">
        <v>4565</v>
      </c>
      <c r="K65" s="3">
        <v>3250</v>
      </c>
      <c r="L65" s="3">
        <v>2310</v>
      </c>
      <c r="M65" s="3">
        <v>2310</v>
      </c>
      <c r="N65" t="s">
        <v>433</v>
      </c>
      <c r="O65">
        <f t="shared" si="9"/>
        <v>718</v>
      </c>
      <c r="P65" s="9" t="s">
        <v>449</v>
      </c>
      <c r="Q65">
        <f t="shared" si="2"/>
        <v>718</v>
      </c>
      <c r="R65" s="9" t="s">
        <v>449</v>
      </c>
      <c r="S65">
        <f t="shared" si="3"/>
        <v>2310</v>
      </c>
      <c r="T65" s="9" t="s">
        <v>0</v>
      </c>
      <c r="U65">
        <f t="shared" si="8"/>
        <v>3250</v>
      </c>
      <c r="V65" s="4" t="s">
        <v>0</v>
      </c>
      <c r="W65">
        <f>MIN(F65:I65)</f>
        <v>718</v>
      </c>
      <c r="X65" s="4" t="s">
        <v>449</v>
      </c>
      <c r="Y65">
        <f>MIN(F65:G65,I65)</f>
        <v>718</v>
      </c>
      <c r="Z65" s="4" t="s">
        <v>449</v>
      </c>
      <c r="AA65">
        <f>MIN(F65:H65)</f>
        <v>3053</v>
      </c>
      <c r="AB65" s="4" t="s">
        <v>0</v>
      </c>
      <c r="AC65">
        <f>MIN(F65:G65)</f>
        <v>6102</v>
      </c>
      <c r="AD65" s="4" t="s">
        <v>0</v>
      </c>
      <c r="AE65">
        <f>MIN(F65:I65)</f>
        <v>718</v>
      </c>
      <c r="AF65" s="4" t="s">
        <v>449</v>
      </c>
      <c r="AG65">
        <f>MIN(F65:G65,I65)</f>
        <v>718</v>
      </c>
      <c r="AH65" s="4" t="s">
        <v>449</v>
      </c>
      <c r="AI65">
        <f>MIN(F65:H65)</f>
        <v>3053</v>
      </c>
      <c r="AJ65" s="4" t="s">
        <v>0</v>
      </c>
      <c r="AK65">
        <f>MIN(F65:G65)</f>
        <v>6102</v>
      </c>
      <c r="AL65" s="4" t="s">
        <v>0</v>
      </c>
    </row>
    <row r="66" spans="1:38" x14ac:dyDescent="0.3">
      <c r="A66">
        <v>2</v>
      </c>
      <c r="B66" t="s">
        <v>57</v>
      </c>
      <c r="C66" t="s">
        <v>58</v>
      </c>
      <c r="D66" s="29">
        <v>51.119509999999998</v>
      </c>
      <c r="E66" s="9">
        <v>4.2056969999999998</v>
      </c>
      <c r="F66" s="32">
        <v>6630</v>
      </c>
      <c r="G66" s="32">
        <v>3124</v>
      </c>
      <c r="H66" s="32">
        <v>1300</v>
      </c>
      <c r="I66" s="32">
        <v>2989</v>
      </c>
      <c r="J66" s="3">
        <v>1737</v>
      </c>
      <c r="K66" s="3">
        <v>12434</v>
      </c>
      <c r="L66" s="3">
        <v>1160</v>
      </c>
      <c r="M66" s="3">
        <v>741</v>
      </c>
      <c r="N66" t="s">
        <v>433</v>
      </c>
      <c r="O66">
        <f t="shared" si="9"/>
        <v>741</v>
      </c>
      <c r="P66" s="9" t="s">
        <v>449</v>
      </c>
      <c r="Q66">
        <f t="shared" si="2"/>
        <v>741</v>
      </c>
      <c r="R66" s="9" t="s">
        <v>449</v>
      </c>
      <c r="S66">
        <f t="shared" si="3"/>
        <v>1160</v>
      </c>
      <c r="T66" s="9" t="s">
        <v>449</v>
      </c>
      <c r="U66">
        <f t="shared" si="8"/>
        <v>1737</v>
      </c>
      <c r="V66" s="4" t="s">
        <v>449</v>
      </c>
      <c r="W66">
        <f>MIN(F66:I66)</f>
        <v>1300</v>
      </c>
      <c r="X66" s="4" t="s">
        <v>0</v>
      </c>
      <c r="Y66">
        <f>MIN(F66:G66,I66)</f>
        <v>2989</v>
      </c>
      <c r="Z66" s="4" t="s">
        <v>0</v>
      </c>
      <c r="AA66">
        <f>MIN(F66:H66)</f>
        <v>1300</v>
      </c>
      <c r="AB66" s="4" t="s">
        <v>449</v>
      </c>
      <c r="AC66">
        <f>MIN(F66:G66)</f>
        <v>3124</v>
      </c>
      <c r="AD66" s="4" t="s">
        <v>0</v>
      </c>
      <c r="AE66">
        <f>MIN(F66:I66)</f>
        <v>1300</v>
      </c>
      <c r="AF66" s="4" t="s">
        <v>0</v>
      </c>
      <c r="AG66">
        <f>MIN(F66:G66,I66)</f>
        <v>2989</v>
      </c>
      <c r="AH66" s="4" t="s">
        <v>0</v>
      </c>
      <c r="AI66">
        <f>MIN(F66:H66)</f>
        <v>1300</v>
      </c>
      <c r="AJ66" s="4" t="s">
        <v>449</v>
      </c>
      <c r="AK66">
        <f>MIN(F66:G66)</f>
        <v>3124</v>
      </c>
      <c r="AL66" s="4" t="s">
        <v>0</v>
      </c>
    </row>
    <row r="67" spans="1:38" x14ac:dyDescent="0.3">
      <c r="A67">
        <v>2</v>
      </c>
      <c r="B67" t="s">
        <v>59</v>
      </c>
      <c r="C67" t="s">
        <v>60</v>
      </c>
      <c r="D67" s="30">
        <v>51.123835434132303</v>
      </c>
      <c r="E67" s="3">
        <v>4.2750023769999999</v>
      </c>
      <c r="F67" s="32">
        <v>2940</v>
      </c>
      <c r="G67" s="32">
        <v>8400</v>
      </c>
      <c r="H67" s="32">
        <v>199.61</v>
      </c>
      <c r="I67" s="32">
        <v>190.43</v>
      </c>
      <c r="J67" s="3">
        <v>6936</v>
      </c>
      <c r="K67" s="3">
        <v>7250</v>
      </c>
      <c r="L67" s="3">
        <v>1407</v>
      </c>
      <c r="M67" s="3">
        <v>1193</v>
      </c>
      <c r="N67" t="s">
        <v>433</v>
      </c>
      <c r="O67">
        <f t="shared" si="9"/>
        <v>190.43</v>
      </c>
      <c r="P67" s="9" t="s">
        <v>449</v>
      </c>
      <c r="Q67">
        <f t="shared" si="2"/>
        <v>190.43</v>
      </c>
      <c r="R67" s="9" t="s">
        <v>449</v>
      </c>
      <c r="S67">
        <f t="shared" si="3"/>
        <v>199.61</v>
      </c>
      <c r="T67" s="9" t="s">
        <v>449</v>
      </c>
      <c r="U67">
        <f t="shared" si="8"/>
        <v>2940</v>
      </c>
      <c r="V67" s="4" t="s">
        <v>0</v>
      </c>
      <c r="W67">
        <f>MIN(F67:I67)</f>
        <v>190.43</v>
      </c>
      <c r="X67" s="4" t="s">
        <v>449</v>
      </c>
      <c r="Y67">
        <f>MIN(F67:G67,I67)</f>
        <v>190.43</v>
      </c>
      <c r="Z67" s="4" t="s">
        <v>449</v>
      </c>
      <c r="AA67">
        <f>MIN(F67:H67)</f>
        <v>199.61</v>
      </c>
      <c r="AB67" s="4" t="s">
        <v>449</v>
      </c>
      <c r="AC67">
        <f>MIN(F67:G67)</f>
        <v>2940</v>
      </c>
      <c r="AD67" s="4" t="s">
        <v>449</v>
      </c>
      <c r="AE67">
        <f>MIN(F67:I67)</f>
        <v>190.43</v>
      </c>
      <c r="AF67" s="4" t="s">
        <v>449</v>
      </c>
      <c r="AG67">
        <f>MIN(F67:G67,I67)</f>
        <v>190.43</v>
      </c>
      <c r="AH67" s="4" t="s">
        <v>449</v>
      </c>
      <c r="AI67">
        <f>MIN(F67:H67)</f>
        <v>199.61</v>
      </c>
      <c r="AJ67" s="4" t="s">
        <v>449</v>
      </c>
      <c r="AK67">
        <f>MIN(F67:G67)</f>
        <v>2940</v>
      </c>
      <c r="AL67" s="4" t="s">
        <v>0</v>
      </c>
    </row>
    <row r="68" spans="1:38" x14ac:dyDescent="0.3">
      <c r="A68">
        <v>2</v>
      </c>
      <c r="B68" t="s">
        <v>61</v>
      </c>
      <c r="C68" t="s">
        <v>62</v>
      </c>
      <c r="D68" s="30">
        <v>51.142229999999998</v>
      </c>
      <c r="E68" s="3">
        <v>4.3264480000000001</v>
      </c>
      <c r="F68" s="32">
        <v>7244</v>
      </c>
      <c r="G68" s="32">
        <v>7480</v>
      </c>
      <c r="H68" s="32">
        <v>1517</v>
      </c>
      <c r="I68" s="32">
        <v>284</v>
      </c>
      <c r="J68" s="3">
        <v>8397</v>
      </c>
      <c r="K68" s="3">
        <v>6751</v>
      </c>
      <c r="L68" s="3">
        <v>303.33999999999997</v>
      </c>
      <c r="M68" s="3">
        <v>4252</v>
      </c>
      <c r="N68" t="s">
        <v>433</v>
      </c>
      <c r="O68">
        <f t="shared" si="9"/>
        <v>284</v>
      </c>
      <c r="P68" s="9" t="s">
        <v>449</v>
      </c>
      <c r="Q68">
        <f t="shared" si="2"/>
        <v>284</v>
      </c>
      <c r="R68" s="9" t="s">
        <v>449</v>
      </c>
      <c r="S68">
        <f t="shared" si="3"/>
        <v>303.33999999999997</v>
      </c>
      <c r="T68" s="9" t="s">
        <v>449</v>
      </c>
      <c r="U68">
        <f t="shared" si="8"/>
        <v>6751</v>
      </c>
      <c r="V68" s="4" t="s">
        <v>0</v>
      </c>
      <c r="W68">
        <f>MIN(F68:I68)</f>
        <v>284</v>
      </c>
      <c r="X68" s="4" t="s">
        <v>449</v>
      </c>
      <c r="Y68">
        <f>MIN(F68:G68,I68)</f>
        <v>284</v>
      </c>
      <c r="Z68" s="4" t="s">
        <v>449</v>
      </c>
      <c r="AA68">
        <f>MIN(F68:H68)</f>
        <v>1517</v>
      </c>
      <c r="AB68" s="4" t="s">
        <v>449</v>
      </c>
      <c r="AC68">
        <f>MIN(F68:G68)</f>
        <v>7244</v>
      </c>
      <c r="AD68" s="4" t="s">
        <v>0</v>
      </c>
      <c r="AE68">
        <f>MIN(F68:I68)</f>
        <v>284</v>
      </c>
      <c r="AF68" s="4" t="s">
        <v>449</v>
      </c>
      <c r="AG68">
        <f>MIN(F68:G68,I68)</f>
        <v>284</v>
      </c>
      <c r="AH68" s="4" t="s">
        <v>449</v>
      </c>
      <c r="AI68">
        <f>MIN(F68:H68)</f>
        <v>1517</v>
      </c>
      <c r="AJ68" s="4" t="s">
        <v>0</v>
      </c>
      <c r="AK68">
        <f>MIN(F68:G68)</f>
        <v>7244</v>
      </c>
      <c r="AL68" s="4" t="s">
        <v>0</v>
      </c>
    </row>
    <row r="69" spans="1:38" x14ac:dyDescent="0.3">
      <c r="A69">
        <v>2</v>
      </c>
      <c r="B69" t="s">
        <v>63</v>
      </c>
      <c r="C69" t="s">
        <v>64</v>
      </c>
      <c r="D69" s="30">
        <v>51.175387999999998</v>
      </c>
      <c r="E69" s="3">
        <v>4.3304999999999998</v>
      </c>
      <c r="F69" s="3">
        <v>10944</v>
      </c>
      <c r="G69" s="3">
        <v>3751</v>
      </c>
      <c r="H69" s="3">
        <v>595</v>
      </c>
      <c r="I69" s="3">
        <v>1678</v>
      </c>
      <c r="J69" s="32">
        <v>4638</v>
      </c>
      <c r="K69" s="32">
        <v>17430</v>
      </c>
      <c r="L69" s="32">
        <v>2105</v>
      </c>
      <c r="M69" s="32">
        <v>545</v>
      </c>
      <c r="N69" t="s">
        <v>432</v>
      </c>
      <c r="O69">
        <f t="shared" si="9"/>
        <v>545</v>
      </c>
      <c r="P69" s="9" t="s">
        <v>449</v>
      </c>
      <c r="Q69">
        <f t="shared" si="2"/>
        <v>545</v>
      </c>
      <c r="R69" s="9" t="s">
        <v>449</v>
      </c>
      <c r="S69">
        <f t="shared" si="3"/>
        <v>595</v>
      </c>
      <c r="T69" s="9" t="s">
        <v>449</v>
      </c>
      <c r="U69">
        <f t="shared" si="8"/>
        <v>3751</v>
      </c>
      <c r="V69" s="4" t="s">
        <v>0</v>
      </c>
      <c r="W69">
        <f>MIN(J69:M69)</f>
        <v>545</v>
      </c>
      <c r="X69" s="4" t="s">
        <v>449</v>
      </c>
      <c r="Y69">
        <f>MIN(J69:K69,M69)</f>
        <v>545</v>
      </c>
      <c r="Z69" s="4" t="s">
        <v>449</v>
      </c>
      <c r="AA69">
        <f>MIN(J69:L69)</f>
        <v>2105</v>
      </c>
      <c r="AB69" s="4" t="s">
        <v>0</v>
      </c>
      <c r="AC69">
        <f>MIN(J69:K69)</f>
        <v>4638</v>
      </c>
      <c r="AD69" s="4" t="s">
        <v>0</v>
      </c>
      <c r="AE69">
        <f>MIN(F69:M69)</f>
        <v>545</v>
      </c>
      <c r="AF69" s="4" t="s">
        <v>449</v>
      </c>
      <c r="AG69">
        <f>MIN(F69:G69,I69:K69,M69)</f>
        <v>545</v>
      </c>
      <c r="AH69" s="4" t="s">
        <v>449</v>
      </c>
      <c r="AI69">
        <f>MIN(F69:H69,J69:L69)</f>
        <v>595</v>
      </c>
      <c r="AJ69" s="4" t="s">
        <v>449</v>
      </c>
      <c r="AK69">
        <f>MIN(F69:G69,J69:K69)</f>
        <v>3751</v>
      </c>
      <c r="AL69" s="4" t="s">
        <v>0</v>
      </c>
    </row>
    <row r="70" spans="1:38" x14ac:dyDescent="0.3">
      <c r="A70">
        <v>2</v>
      </c>
      <c r="B70" t="s">
        <v>65</v>
      </c>
      <c r="C70" t="s">
        <v>66</v>
      </c>
      <c r="D70" s="30">
        <v>51.196627999999997</v>
      </c>
      <c r="E70" s="3">
        <v>4.3443820000000004</v>
      </c>
      <c r="F70" s="32">
        <v>3935</v>
      </c>
      <c r="G70" s="32">
        <v>6450</v>
      </c>
      <c r="H70" s="32">
        <v>1655</v>
      </c>
      <c r="I70" s="32">
        <v>2421</v>
      </c>
      <c r="J70" s="3">
        <v>1862</v>
      </c>
      <c r="K70" s="3">
        <v>14730</v>
      </c>
      <c r="L70" s="3">
        <v>3140</v>
      </c>
      <c r="M70" s="3">
        <v>2556</v>
      </c>
      <c r="N70" t="s">
        <v>433</v>
      </c>
      <c r="O70">
        <f t="shared" si="9"/>
        <v>1655</v>
      </c>
      <c r="P70" s="9" t="s">
        <v>0</v>
      </c>
      <c r="Q70">
        <f t="shared" si="2"/>
        <v>1862</v>
      </c>
      <c r="R70" s="9" t="s">
        <v>0</v>
      </c>
      <c r="S70">
        <f t="shared" si="3"/>
        <v>1655</v>
      </c>
      <c r="T70" s="9" t="s">
        <v>0</v>
      </c>
      <c r="U70">
        <f t="shared" si="8"/>
        <v>1862</v>
      </c>
      <c r="V70" s="4" t="s">
        <v>449</v>
      </c>
      <c r="W70">
        <f>MIN(F70:I70)</f>
        <v>1655</v>
      </c>
      <c r="X70" s="4" t="s">
        <v>0</v>
      </c>
      <c r="Y70">
        <f>MIN(F70:G70,I70)</f>
        <v>2421</v>
      </c>
      <c r="Z70" s="4" t="s">
        <v>0</v>
      </c>
      <c r="AA70">
        <f>MIN(F70:H70)</f>
        <v>1655</v>
      </c>
      <c r="AB70" s="4" t="s">
        <v>0</v>
      </c>
      <c r="AC70">
        <f>MIN(F70:G70)</f>
        <v>3935</v>
      </c>
      <c r="AD70" s="4" t="s">
        <v>0</v>
      </c>
      <c r="AE70">
        <f>MIN(F70:I70)</f>
        <v>1655</v>
      </c>
      <c r="AF70" s="4" t="s">
        <v>0</v>
      </c>
      <c r="AG70">
        <f>MIN(F70:G70,I70)</f>
        <v>2421</v>
      </c>
      <c r="AH70" s="4" t="s">
        <v>0</v>
      </c>
      <c r="AI70">
        <f>MIN(F70:H70)</f>
        <v>1655</v>
      </c>
      <c r="AJ70" s="4" t="s">
        <v>0</v>
      </c>
      <c r="AK70">
        <f>MIN(F70:G70)</f>
        <v>3935</v>
      </c>
      <c r="AL70" s="4" t="s">
        <v>0</v>
      </c>
    </row>
    <row r="71" spans="1:38" x14ac:dyDescent="0.3">
      <c r="A71">
        <v>2</v>
      </c>
      <c r="B71" t="s">
        <v>67</v>
      </c>
      <c r="C71" t="s">
        <v>68</v>
      </c>
      <c r="D71" s="30">
        <v>51.224416750945402</v>
      </c>
      <c r="E71" s="3">
        <v>4.3924785210000001</v>
      </c>
      <c r="F71" s="3">
        <v>3010</v>
      </c>
      <c r="G71" s="3">
        <v>11250</v>
      </c>
      <c r="H71" s="3">
        <v>610</v>
      </c>
      <c r="I71" s="3">
        <v>482</v>
      </c>
      <c r="J71" s="32">
        <v>4214</v>
      </c>
      <c r="K71" s="32">
        <v>9930</v>
      </c>
      <c r="L71" s="32">
        <v>535</v>
      </c>
      <c r="M71" s="32">
        <v>514</v>
      </c>
      <c r="N71" t="s">
        <v>432</v>
      </c>
      <c r="O71" s="5">
        <f t="shared" si="9"/>
        <v>482</v>
      </c>
      <c r="P71" s="9" t="s">
        <v>449</v>
      </c>
      <c r="Q71" s="5">
        <f t="shared" si="2"/>
        <v>482</v>
      </c>
      <c r="R71" s="14" t="s">
        <v>449</v>
      </c>
      <c r="S71">
        <f t="shared" si="3"/>
        <v>535</v>
      </c>
      <c r="T71" s="9" t="s">
        <v>449</v>
      </c>
      <c r="U71">
        <f t="shared" si="8"/>
        <v>3010</v>
      </c>
      <c r="V71" s="4" t="s">
        <v>0</v>
      </c>
      <c r="W71" s="5">
        <f>MIN(J71:M71)</f>
        <v>514</v>
      </c>
      <c r="X71" s="9" t="s">
        <v>449</v>
      </c>
      <c r="Y71" s="5">
        <f>MIN(J71:K71,M71)</f>
        <v>514</v>
      </c>
      <c r="Z71" s="14" t="s">
        <v>449</v>
      </c>
      <c r="AA71">
        <f>MIN(J71:L71)</f>
        <v>535</v>
      </c>
      <c r="AB71" s="4" t="s">
        <v>449</v>
      </c>
      <c r="AC71" s="5">
        <f>MIN(J71:K71)</f>
        <v>4214</v>
      </c>
      <c r="AD71" s="4" t="s">
        <v>0</v>
      </c>
      <c r="AE71" s="5">
        <f>MIN(F71:M71)</f>
        <v>482</v>
      </c>
      <c r="AF71" s="9" t="s">
        <v>449</v>
      </c>
      <c r="AG71" s="5">
        <f>MIN(F71:G71,I71:K71,M71)</f>
        <v>482</v>
      </c>
      <c r="AH71" s="14" t="s">
        <v>449</v>
      </c>
      <c r="AI71">
        <f>MIN(F71:H71,J71:L71)</f>
        <v>535</v>
      </c>
      <c r="AJ71" s="4" t="s">
        <v>449</v>
      </c>
      <c r="AK71">
        <f>MIN(F71:G71,J71:K71)</f>
        <v>3010</v>
      </c>
      <c r="AL71" s="4" t="s">
        <v>0</v>
      </c>
    </row>
    <row r="72" spans="1:38" x14ac:dyDescent="0.3">
      <c r="A72">
        <v>2</v>
      </c>
      <c r="B72" t="s">
        <v>69</v>
      </c>
      <c r="C72" t="s">
        <v>70</v>
      </c>
      <c r="D72" s="30">
        <v>51.234163383876002</v>
      </c>
      <c r="E72" s="3">
        <v>4.3969127629999996</v>
      </c>
      <c r="F72" s="32">
        <v>4176</v>
      </c>
      <c r="G72" s="32">
        <v>12350</v>
      </c>
      <c r="H72" s="32">
        <v>952</v>
      </c>
      <c r="I72" s="32">
        <v>907</v>
      </c>
      <c r="J72" s="3">
        <v>2978</v>
      </c>
      <c r="K72" s="3">
        <v>8830</v>
      </c>
      <c r="L72" s="3">
        <v>858</v>
      </c>
      <c r="M72" s="3">
        <v>3598</v>
      </c>
      <c r="N72" t="s">
        <v>433</v>
      </c>
      <c r="O72" s="5">
        <f t="shared" si="9"/>
        <v>858</v>
      </c>
      <c r="P72" s="9" t="s">
        <v>0</v>
      </c>
      <c r="Q72" s="5">
        <f t="shared" si="2"/>
        <v>907</v>
      </c>
      <c r="R72" s="9" t="s">
        <v>0</v>
      </c>
      <c r="S72" s="5">
        <f t="shared" si="3"/>
        <v>858</v>
      </c>
      <c r="T72" s="9" t="s">
        <v>449</v>
      </c>
      <c r="U72" s="5">
        <f t="shared" si="8"/>
        <v>2978</v>
      </c>
      <c r="V72" s="4" t="s">
        <v>0</v>
      </c>
      <c r="W72" s="5">
        <f>MIN(F72:I72)</f>
        <v>907</v>
      </c>
      <c r="X72" s="14" t="s">
        <v>449</v>
      </c>
      <c r="Y72" s="5">
        <f>MIN(F72:G72,I72)</f>
        <v>907</v>
      </c>
      <c r="Z72" s="14" t="s">
        <v>449</v>
      </c>
      <c r="AA72">
        <f>MIN(F72:H72)</f>
        <v>952</v>
      </c>
      <c r="AB72" s="4" t="s">
        <v>449</v>
      </c>
      <c r="AC72">
        <f>MIN(F72:G72)</f>
        <v>4176</v>
      </c>
      <c r="AD72" s="4" t="s">
        <v>0</v>
      </c>
      <c r="AE72" s="5">
        <f>MIN(F72:I72)</f>
        <v>907</v>
      </c>
      <c r="AF72" s="4" t="s">
        <v>0</v>
      </c>
      <c r="AG72" s="5">
        <f>MIN(F72:G72,I72)</f>
        <v>907</v>
      </c>
      <c r="AH72" s="14" t="s">
        <v>449</v>
      </c>
      <c r="AI72">
        <f>MIN(F72:H72)</f>
        <v>952</v>
      </c>
      <c r="AJ72" s="4" t="s">
        <v>449</v>
      </c>
      <c r="AK72">
        <f>MIN(F72:G72)</f>
        <v>4176</v>
      </c>
      <c r="AL72" s="4" t="s">
        <v>0</v>
      </c>
    </row>
    <row r="73" spans="1:38" x14ac:dyDescent="0.3">
      <c r="A73">
        <v>2</v>
      </c>
      <c r="B73" t="s">
        <v>104</v>
      </c>
      <c r="C73" t="s">
        <v>71</v>
      </c>
      <c r="D73" s="29">
        <v>51.240589999999997</v>
      </c>
      <c r="E73" s="9">
        <v>4.3812439999999997</v>
      </c>
      <c r="F73" s="32">
        <v>3660</v>
      </c>
      <c r="G73" s="32">
        <v>13650</v>
      </c>
      <c r="H73" s="32">
        <v>2091</v>
      </c>
      <c r="I73" s="32">
        <v>1690</v>
      </c>
      <c r="J73" s="3">
        <v>9080</v>
      </c>
      <c r="K73" s="3">
        <v>7530</v>
      </c>
      <c r="L73" s="3">
        <v>3620</v>
      </c>
      <c r="M73" s="3">
        <v>2480</v>
      </c>
      <c r="N73" s="10" t="s">
        <v>433</v>
      </c>
      <c r="O73" s="5">
        <f t="shared" si="9"/>
        <v>1690</v>
      </c>
      <c r="P73" s="9" t="s">
        <v>0</v>
      </c>
      <c r="Q73" s="5">
        <f t="shared" si="2"/>
        <v>1690</v>
      </c>
      <c r="R73" s="9" t="s">
        <v>0</v>
      </c>
      <c r="S73" s="5">
        <f t="shared" si="3"/>
        <v>2091</v>
      </c>
      <c r="T73" s="9" t="s">
        <v>0</v>
      </c>
      <c r="U73" s="5">
        <f t="shared" si="8"/>
        <v>3660</v>
      </c>
      <c r="V73" s="4" t="s">
        <v>0</v>
      </c>
      <c r="W73" s="5">
        <f>MIN(F73:I73)</f>
        <v>1690</v>
      </c>
      <c r="X73" s="4" t="s">
        <v>0</v>
      </c>
      <c r="Y73" s="5">
        <f>MIN(F73:G73,I73)</f>
        <v>1690</v>
      </c>
      <c r="Z73" s="4" t="s">
        <v>0</v>
      </c>
      <c r="AA73" s="5">
        <f>MIN(F73:H73)</f>
        <v>2091</v>
      </c>
      <c r="AB73" s="4" t="s">
        <v>0</v>
      </c>
      <c r="AC73" s="5">
        <f>MIN(F73:G73)</f>
        <v>3660</v>
      </c>
      <c r="AD73" s="4" t="s">
        <v>0</v>
      </c>
      <c r="AE73" s="5">
        <f>MIN(F73:I73)</f>
        <v>1690</v>
      </c>
      <c r="AF73" s="4" t="s">
        <v>0</v>
      </c>
      <c r="AG73" s="5">
        <f>MIN(F73:G73,I73)</f>
        <v>1690</v>
      </c>
      <c r="AH73" s="4" t="s">
        <v>0</v>
      </c>
      <c r="AI73" s="5">
        <f>MIN(F73:H73)</f>
        <v>2091</v>
      </c>
      <c r="AJ73" s="4" t="s">
        <v>0</v>
      </c>
      <c r="AK73" s="5">
        <f>MIN(F73:G73)</f>
        <v>3660</v>
      </c>
      <c r="AL73" s="4" t="s">
        <v>0</v>
      </c>
    </row>
    <row r="74" spans="1:38" x14ac:dyDescent="0.3">
      <c r="A74">
        <v>2</v>
      </c>
      <c r="B74" t="s">
        <v>72</v>
      </c>
      <c r="C74" t="s">
        <v>73</v>
      </c>
      <c r="D74" s="30">
        <v>51.249890600997503</v>
      </c>
      <c r="E74" s="3">
        <v>4.3109073640000002</v>
      </c>
      <c r="F74" s="3">
        <v>9340</v>
      </c>
      <c r="G74" s="3">
        <v>19150</v>
      </c>
      <c r="H74" s="3">
        <v>6260</v>
      </c>
      <c r="I74" s="3">
        <v>5225</v>
      </c>
      <c r="J74" s="32">
        <v>4050</v>
      </c>
      <c r="K74" s="32">
        <v>1950</v>
      </c>
      <c r="L74" s="32">
        <v>2604</v>
      </c>
      <c r="M74" s="32">
        <v>3039</v>
      </c>
      <c r="N74" s="10" t="s">
        <v>432</v>
      </c>
      <c r="O74" s="5">
        <f t="shared" si="9"/>
        <v>1950</v>
      </c>
      <c r="P74" s="9" t="s">
        <v>0</v>
      </c>
      <c r="Q74" s="5">
        <f t="shared" si="2"/>
        <v>1950</v>
      </c>
      <c r="R74" s="9" t="s">
        <v>0</v>
      </c>
      <c r="S74" s="5">
        <f t="shared" si="3"/>
        <v>1950</v>
      </c>
      <c r="T74" s="9" t="s">
        <v>0</v>
      </c>
      <c r="U74" s="5">
        <f t="shared" si="8"/>
        <v>1950</v>
      </c>
      <c r="V74" s="14" t="s">
        <v>449</v>
      </c>
      <c r="W74" s="5">
        <f>MIN(J74:M74)</f>
        <v>1950</v>
      </c>
      <c r="X74" s="4" t="s">
        <v>0</v>
      </c>
      <c r="Y74" s="5">
        <f>MIN(J74:K74,M74)</f>
        <v>1950</v>
      </c>
      <c r="Z74" s="4" t="s">
        <v>0</v>
      </c>
      <c r="AA74" s="5">
        <f>MIN(J74:L74)</f>
        <v>1950</v>
      </c>
      <c r="AB74" s="4" t="s">
        <v>0</v>
      </c>
      <c r="AC74" s="5">
        <f>MIN(J74:K74)</f>
        <v>1950</v>
      </c>
      <c r="AD74" s="14" t="s">
        <v>449</v>
      </c>
      <c r="AE74" s="5">
        <f>MIN(F74:M74)</f>
        <v>1950</v>
      </c>
      <c r="AF74" s="4" t="s">
        <v>0</v>
      </c>
      <c r="AG74" s="5">
        <f>MIN(F74:G74,I74:K74,M74)</f>
        <v>1950</v>
      </c>
      <c r="AH74" s="4" t="s">
        <v>0</v>
      </c>
      <c r="AI74" s="5">
        <f>MIN(F74:H74,J74:L74)</f>
        <v>1950</v>
      </c>
      <c r="AJ74" s="4" t="s">
        <v>0</v>
      </c>
      <c r="AK74" s="5">
        <f>MIN(F74:G74,J74:K74)</f>
        <v>1950</v>
      </c>
      <c r="AL74" s="14" t="s">
        <v>449</v>
      </c>
    </row>
    <row r="75" spans="1:38" x14ac:dyDescent="0.3">
      <c r="A75">
        <v>2</v>
      </c>
      <c r="B75" t="s">
        <v>74</v>
      </c>
      <c r="C75" t="s">
        <v>75</v>
      </c>
      <c r="D75" s="30">
        <v>51.268097715301998</v>
      </c>
      <c r="E75" s="3">
        <v>4.2988790269999999</v>
      </c>
      <c r="F75" s="32">
        <v>3460</v>
      </c>
      <c r="G75" s="32">
        <v>2350</v>
      </c>
      <c r="H75" s="32">
        <v>2183</v>
      </c>
      <c r="I75" s="32">
        <v>2606</v>
      </c>
      <c r="J75" s="32" t="s">
        <v>413</v>
      </c>
      <c r="K75" s="32">
        <v>7150</v>
      </c>
      <c r="L75" s="32">
        <v>15090</v>
      </c>
      <c r="M75" s="32">
        <v>15084</v>
      </c>
      <c r="N75" s="10" t="s">
        <v>435</v>
      </c>
      <c r="O75">
        <f t="shared" si="9"/>
        <v>2183</v>
      </c>
      <c r="P75" s="9" t="s">
        <v>0</v>
      </c>
      <c r="Q75" s="5">
        <f t="shared" si="2"/>
        <v>2350</v>
      </c>
      <c r="R75" s="9" t="s">
        <v>0</v>
      </c>
      <c r="S75">
        <f t="shared" si="3"/>
        <v>2183</v>
      </c>
      <c r="T75" s="9" t="s">
        <v>0</v>
      </c>
      <c r="U75" s="5">
        <f t="shared" si="8"/>
        <v>2350</v>
      </c>
      <c r="V75" s="4" t="s">
        <v>0</v>
      </c>
      <c r="W75">
        <f>MIN(F75:M75)</f>
        <v>2183</v>
      </c>
      <c r="X75" s="4" t="s">
        <v>0</v>
      </c>
      <c r="Y75" s="5">
        <f>MIN(F75:G75,I75:K75,M75)</f>
        <v>2350</v>
      </c>
      <c r="Z75" s="4" t="s">
        <v>0</v>
      </c>
      <c r="AA75">
        <f>MIN(F75:H75,J75:L75)</f>
        <v>2183</v>
      </c>
      <c r="AB75" s="4" t="s">
        <v>0</v>
      </c>
      <c r="AC75" s="5">
        <f>MIN(F75:G75,J75:K75)</f>
        <v>2350</v>
      </c>
      <c r="AD75" s="14" t="s">
        <v>449</v>
      </c>
      <c r="AE75">
        <f>MIN(F75:M75)</f>
        <v>2183</v>
      </c>
      <c r="AF75" s="4" t="s">
        <v>0</v>
      </c>
      <c r="AG75" s="5">
        <f>MIN(F75:G75,I75:K75,M75)</f>
        <v>2350</v>
      </c>
      <c r="AH75" s="4" t="s">
        <v>0</v>
      </c>
      <c r="AI75">
        <f>MIN(F75:H75,J75:L75)</f>
        <v>2183</v>
      </c>
      <c r="AJ75" s="4" t="s">
        <v>0</v>
      </c>
      <c r="AK75" s="5">
        <f>MIN(F75:G75,J75:K75)</f>
        <v>2350</v>
      </c>
      <c r="AL75" s="14" t="s">
        <v>449</v>
      </c>
    </row>
    <row r="76" spans="1:38" x14ac:dyDescent="0.3">
      <c r="A76">
        <v>2</v>
      </c>
      <c r="B76" t="s">
        <v>80</v>
      </c>
      <c r="C76" t="s">
        <v>77</v>
      </c>
      <c r="D76" s="29">
        <v>51.285333000000001</v>
      </c>
      <c r="E76" s="9">
        <v>4.3163830000000001</v>
      </c>
      <c r="F76" s="32">
        <v>5660</v>
      </c>
      <c r="G76" s="32">
        <v>4550</v>
      </c>
      <c r="H76" s="32">
        <v>4383</v>
      </c>
      <c r="I76" s="32">
        <v>4806</v>
      </c>
      <c r="J76" s="3" t="s">
        <v>413</v>
      </c>
      <c r="K76" s="3">
        <v>4950</v>
      </c>
      <c r="L76" s="3">
        <v>12890</v>
      </c>
      <c r="M76" s="3">
        <v>12884</v>
      </c>
      <c r="N76" s="3" t="s">
        <v>433</v>
      </c>
      <c r="O76">
        <f t="shared" si="9"/>
        <v>4383</v>
      </c>
      <c r="P76" s="9" t="s">
        <v>0</v>
      </c>
      <c r="Q76" s="5">
        <f t="shared" si="2"/>
        <v>4550</v>
      </c>
      <c r="R76" s="9" t="s">
        <v>0</v>
      </c>
      <c r="S76">
        <f t="shared" si="3"/>
        <v>4383</v>
      </c>
      <c r="T76" s="9" t="s">
        <v>0</v>
      </c>
      <c r="U76" s="5">
        <f t="shared" si="8"/>
        <v>4550</v>
      </c>
      <c r="V76" s="4" t="s">
        <v>0</v>
      </c>
      <c r="W76">
        <f>MIN(F76:I76)</f>
        <v>4383</v>
      </c>
      <c r="X76" s="9" t="s">
        <v>0</v>
      </c>
      <c r="Y76" s="5">
        <f>MIN(F76:G76,I76)</f>
        <v>4550</v>
      </c>
      <c r="Z76" s="9" t="s">
        <v>0</v>
      </c>
      <c r="AA76">
        <f>MIN(F76:H76)</f>
        <v>4383</v>
      </c>
      <c r="AB76" s="4" t="s">
        <v>0</v>
      </c>
      <c r="AC76" s="5">
        <f>MIN(F76:G76)</f>
        <v>4550</v>
      </c>
      <c r="AD76" s="4" t="s">
        <v>0</v>
      </c>
      <c r="AE76">
        <f>MIN(F76:I76)</f>
        <v>4383</v>
      </c>
      <c r="AF76" s="4" t="s">
        <v>0</v>
      </c>
      <c r="AG76" s="5">
        <f>MIN(F76:G76,I76)</f>
        <v>4550</v>
      </c>
      <c r="AH76" s="4" t="s">
        <v>0</v>
      </c>
      <c r="AI76">
        <f>MIN(F76:H76)</f>
        <v>4383</v>
      </c>
      <c r="AJ76" s="4" t="s">
        <v>0</v>
      </c>
      <c r="AK76" s="5">
        <f>MIN(F76:G76)</f>
        <v>4550</v>
      </c>
      <c r="AL76" s="4" t="s">
        <v>0</v>
      </c>
    </row>
    <row r="77" spans="1:38" x14ac:dyDescent="0.3">
      <c r="A77">
        <v>2</v>
      </c>
      <c r="B77" t="s">
        <v>78</v>
      </c>
      <c r="C77" t="s">
        <v>79</v>
      </c>
      <c r="D77" s="29">
        <v>51.300167000000002</v>
      </c>
      <c r="E77" s="9">
        <v>4.2979000000000003</v>
      </c>
      <c r="F77" s="32">
        <v>7860</v>
      </c>
      <c r="G77" s="32">
        <v>6750</v>
      </c>
      <c r="H77" s="32">
        <v>6583</v>
      </c>
      <c r="I77" s="32">
        <v>7006</v>
      </c>
      <c r="J77" s="32" t="s">
        <v>413</v>
      </c>
      <c r="K77" s="32">
        <v>2750</v>
      </c>
      <c r="L77" s="32">
        <v>10690</v>
      </c>
      <c r="M77" s="32">
        <v>10684</v>
      </c>
      <c r="N77" s="3" t="s">
        <v>435</v>
      </c>
      <c r="O77">
        <f t="shared" si="9"/>
        <v>2750</v>
      </c>
      <c r="P77" s="9" t="s">
        <v>0</v>
      </c>
      <c r="Q77">
        <f t="shared" si="2"/>
        <v>2750</v>
      </c>
      <c r="R77" s="9" t="s">
        <v>0</v>
      </c>
      <c r="S77">
        <f t="shared" si="3"/>
        <v>2750</v>
      </c>
      <c r="T77" s="9" t="s">
        <v>0</v>
      </c>
      <c r="U77">
        <f t="shared" si="8"/>
        <v>2750</v>
      </c>
      <c r="V77" s="4" t="s">
        <v>0</v>
      </c>
      <c r="W77">
        <f>MIN(F77:M77)</f>
        <v>2750</v>
      </c>
      <c r="X77" s="9" t="s">
        <v>0</v>
      </c>
      <c r="Y77">
        <f>MIN(F77:G77,I77:K77,M77)</f>
        <v>2750</v>
      </c>
      <c r="Z77" s="9" t="s">
        <v>0</v>
      </c>
      <c r="AA77">
        <f>MIN(F77:H77,J77:L77)</f>
        <v>2750</v>
      </c>
      <c r="AB77" s="4" t="s">
        <v>0</v>
      </c>
      <c r="AC77">
        <f>MIN(F77:G77,J77:K77)</f>
        <v>2750</v>
      </c>
      <c r="AD77" s="4" t="s">
        <v>449</v>
      </c>
      <c r="AE77">
        <f>MIN(F77:M77)</f>
        <v>2750</v>
      </c>
      <c r="AF77" s="4" t="s">
        <v>0</v>
      </c>
      <c r="AG77">
        <f>MIN(F77:G77,I77:K77,M77)</f>
        <v>2750</v>
      </c>
      <c r="AH77" s="4" t="s">
        <v>0</v>
      </c>
      <c r="AI77">
        <f>MIN(F77:H77,J77:L77)</f>
        <v>2750</v>
      </c>
      <c r="AJ77" s="4" t="s">
        <v>0</v>
      </c>
      <c r="AK77">
        <f>MIN(F77:G77,J77:K77)</f>
        <v>2750</v>
      </c>
      <c r="AL77" s="4" t="s">
        <v>449</v>
      </c>
    </row>
    <row r="78" spans="1:38" x14ac:dyDescent="0.3">
      <c r="A78">
        <v>2</v>
      </c>
      <c r="B78" t="s">
        <v>76</v>
      </c>
      <c r="C78" t="s">
        <v>81</v>
      </c>
      <c r="D78" s="30">
        <v>51.302831880575503</v>
      </c>
      <c r="E78" s="3">
        <v>4.285691462</v>
      </c>
      <c r="F78" s="3">
        <v>8860</v>
      </c>
      <c r="G78" s="3">
        <v>7750</v>
      </c>
      <c r="H78" s="3">
        <v>7583</v>
      </c>
      <c r="I78" s="3">
        <v>8006</v>
      </c>
      <c r="J78" s="32" t="s">
        <v>413</v>
      </c>
      <c r="K78" s="32">
        <v>1750</v>
      </c>
      <c r="L78" s="32">
        <v>9690</v>
      </c>
      <c r="M78" s="32">
        <v>9684</v>
      </c>
      <c r="N78" s="3" t="s">
        <v>432</v>
      </c>
      <c r="O78" s="5">
        <f t="shared" si="9"/>
        <v>1750</v>
      </c>
      <c r="P78" s="9" t="s">
        <v>0</v>
      </c>
      <c r="Q78" s="5">
        <f t="shared" si="2"/>
        <v>1750</v>
      </c>
      <c r="R78" s="9" t="s">
        <v>0</v>
      </c>
      <c r="S78" s="5">
        <f t="shared" si="3"/>
        <v>1750</v>
      </c>
      <c r="T78" s="9" t="s">
        <v>0</v>
      </c>
      <c r="U78" s="5">
        <f t="shared" si="8"/>
        <v>1750</v>
      </c>
      <c r="V78" s="14" t="s">
        <v>449</v>
      </c>
      <c r="W78" s="5">
        <f>MIN(J78:M78)</f>
        <v>1750</v>
      </c>
      <c r="X78" s="9" t="s">
        <v>0</v>
      </c>
      <c r="Y78" s="5">
        <f>MIN(J78:K78,M78)</f>
        <v>1750</v>
      </c>
      <c r="Z78" s="9" t="s">
        <v>0</v>
      </c>
      <c r="AA78" s="5">
        <f>MIN(J78:L78)</f>
        <v>1750</v>
      </c>
      <c r="AB78" s="4" t="s">
        <v>0</v>
      </c>
      <c r="AC78" s="5">
        <f>MIN(J78:K78)</f>
        <v>1750</v>
      </c>
      <c r="AD78" s="14" t="s">
        <v>449</v>
      </c>
      <c r="AE78" s="5">
        <f>MIN(F78:M78)</f>
        <v>1750</v>
      </c>
      <c r="AF78" s="4" t="s">
        <v>0</v>
      </c>
      <c r="AG78" s="5">
        <f>MIN(F78:G78,I78:K78,M78)</f>
        <v>1750</v>
      </c>
      <c r="AH78" s="4" t="s">
        <v>0</v>
      </c>
      <c r="AI78" s="5">
        <f>MIN(F78:H78,J78:L78)</f>
        <v>1750</v>
      </c>
      <c r="AJ78" s="4" t="s">
        <v>0</v>
      </c>
      <c r="AK78" s="5">
        <f>MIN(F78:G78,J78:K78)</f>
        <v>1750</v>
      </c>
      <c r="AL78" s="14" t="s">
        <v>449</v>
      </c>
    </row>
    <row r="79" spans="1:38" x14ac:dyDescent="0.3">
      <c r="A79">
        <v>2</v>
      </c>
      <c r="B79" t="s">
        <v>82</v>
      </c>
      <c r="C79" t="s">
        <v>83</v>
      </c>
      <c r="D79" s="29">
        <v>51.358066999999998</v>
      </c>
      <c r="E79" s="9">
        <v>4.2415669999999999</v>
      </c>
      <c r="F79" s="32">
        <v>16010</v>
      </c>
      <c r="G79" s="32">
        <v>6345</v>
      </c>
      <c r="H79" s="32">
        <v>7000</v>
      </c>
      <c r="I79" s="32">
        <v>6987</v>
      </c>
      <c r="J79" s="3" t="s">
        <v>413</v>
      </c>
      <c r="K79" s="3" t="s">
        <v>413</v>
      </c>
      <c r="L79" s="3" t="s">
        <v>413</v>
      </c>
      <c r="M79" s="3" t="s">
        <v>413</v>
      </c>
      <c r="N79" s="3" t="s">
        <v>433</v>
      </c>
      <c r="O79" s="5">
        <f t="shared" si="9"/>
        <v>6345</v>
      </c>
      <c r="P79" s="9" t="s">
        <v>0</v>
      </c>
      <c r="Q79" s="5">
        <f>MIN(F79:G79,I79:K79,M79)</f>
        <v>6345</v>
      </c>
      <c r="R79" s="9" t="s">
        <v>0</v>
      </c>
      <c r="S79" s="5">
        <f>MIN(F79:H79,J79:L79)</f>
        <v>6345</v>
      </c>
      <c r="T79" s="9" t="s">
        <v>0</v>
      </c>
      <c r="U79" s="5">
        <f t="shared" si="8"/>
        <v>6345</v>
      </c>
      <c r="V79" s="4" t="s">
        <v>0</v>
      </c>
      <c r="W79" s="5">
        <f>MIN(F79:I79)</f>
        <v>6345</v>
      </c>
      <c r="X79" s="9" t="s">
        <v>0</v>
      </c>
      <c r="Y79" s="5">
        <f>MIN(F79:G79,I79)</f>
        <v>6345</v>
      </c>
      <c r="Z79" s="9" t="s">
        <v>0</v>
      </c>
      <c r="AA79" s="5">
        <f>MIN(F79:H79)</f>
        <v>6345</v>
      </c>
      <c r="AB79" s="4" t="s">
        <v>0</v>
      </c>
      <c r="AC79" s="5">
        <f>MIN(F79:G79)</f>
        <v>6345</v>
      </c>
      <c r="AD79" s="9" t="s">
        <v>0</v>
      </c>
      <c r="AE79" s="5">
        <f>MIN(F79:I79)</f>
        <v>6345</v>
      </c>
      <c r="AF79" s="4" t="s">
        <v>0</v>
      </c>
      <c r="AG79" s="5">
        <f>MIN(F79:G79,I79)</f>
        <v>6345</v>
      </c>
      <c r="AH79" s="4" t="s">
        <v>0</v>
      </c>
      <c r="AI79" s="5">
        <f>MIN(F79:H79)</f>
        <v>6345</v>
      </c>
      <c r="AJ79" s="4" t="s">
        <v>0</v>
      </c>
      <c r="AK79" s="5">
        <f>MIN(F79:G79)</f>
        <v>6345</v>
      </c>
      <c r="AL79" s="4" t="s">
        <v>0</v>
      </c>
    </row>
    <row r="81" spans="15:37" x14ac:dyDescent="0.3">
      <c r="O81">
        <f>MEDIAN(O29:O51,O57:O79)</f>
        <v>789.5</v>
      </c>
      <c r="Q81" s="3">
        <f>MEDIAN(Q29:Q51,Q57:Q79)</f>
        <v>907</v>
      </c>
      <c r="S81">
        <f>MEDIAN(S29:S51,S57:S79)</f>
        <v>1186.77</v>
      </c>
      <c r="U81">
        <f>MEDIAN(U29:U51,U57:U79)</f>
        <v>2023.12</v>
      </c>
      <c r="W81">
        <f>MEDIAN(W29:W51,W57:W79)</f>
        <v>1189.885</v>
      </c>
      <c r="Y81">
        <f>MEDIAN(Y29:Y51,Y57:Y79)</f>
        <v>1214</v>
      </c>
      <c r="AA81">
        <f>MEDIAN(AA29:AA51,AA57:AA79)</f>
        <v>1548.5</v>
      </c>
      <c r="AC81">
        <f>MEDIAN(AC29:AC51,AC57:AC79)</f>
        <v>2940</v>
      </c>
      <c r="AE81">
        <f>MEDIAN(AE29:AE51,AE57:AE79)</f>
        <v>843</v>
      </c>
      <c r="AG81">
        <f>MEDIAN(AG29:AG51,AG57:AG79)</f>
        <v>921.17499999999995</v>
      </c>
      <c r="AI81">
        <f>MEDIAN(AI29:AI51,AI57:AI79)</f>
        <v>1477.76</v>
      </c>
      <c r="AK81">
        <f>MEDIAN(AK29:AK51,AK57:AK79)</f>
        <v>2845</v>
      </c>
    </row>
  </sheetData>
  <mergeCells count="6">
    <mergeCell ref="F27:I27"/>
    <mergeCell ref="F55:I55"/>
    <mergeCell ref="F26:M26"/>
    <mergeCell ref="J27:M27"/>
    <mergeCell ref="F54:M54"/>
    <mergeCell ref="J55:M55"/>
  </mergeCells>
  <hyperlinks>
    <hyperlink ref="E4" r:id="rId1" display="https://www.geopunt.be/kaart?type=dataset&amp;data=%5B%7B%27type%27%3A%27WMS%27%2C%27url%27%3A%27https%3A%2F%2Fgeoservices.informatievlaanderen.be%2Fraadpleegdiensten%2FNutsdiensten_en_overheidsdiensten%2Fwms%3Frequest%3DGetMap%26version%3D1.3.0%26service%3Dwms%27%2C%27layers%27%3A%5B%7B%27id%27%3A%27HYDPNT%27%2C%27title%27%3A%27Hydraulisch%20punt%27%7D%5D%7D%5D"/>
  </hyperlinks>
  <pageMargins left="0.7" right="0.7" top="0.75" bottom="0.75" header="0.3" footer="0.3"/>
  <pageSetup paperSize="9" orientation="portrait" horizontalDpi="200" verticalDpi="0" copies="0" r:id="rId2"/>
  <ignoredErrors>
    <ignoredError sqref="O29:O51 O57:O79 S47:S51 S75:S79 U47:U51 U75:U79" formulaRange="1"/>
  </ignoredErrors>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5C68BD5D556704698F91D8FE42DAF3B" ma:contentTypeVersion="" ma:contentTypeDescription="Create a new document." ma:contentTypeScope="" ma:versionID="d33d82784ad419575a921c1589dfd795">
  <xsd:schema xmlns:xsd="http://www.w3.org/2001/XMLSchema" xmlns:xs="http://www.w3.org/2001/XMLSchema" xmlns:p="http://schemas.microsoft.com/office/2006/metadata/properties" targetNamespace="http://schemas.microsoft.com/office/2006/metadata/properties" ma:root="true" ma:fieldsID="d6346c499c1ba1ff69efa6522948a6f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0479426-F607-4DB0-AB83-A9A18B4D57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E584A3AA-480E-4A3F-BBF6-DCAF71176F5E}">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C08BEE9E-A6F3-44FA-A53E-AF01BB7D74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metadata</vt:lpstr>
      <vt:lpstr>depth</vt:lpstr>
      <vt:lpstr>ecotope</vt:lpstr>
      <vt:lpstr>meteorological data</vt:lpstr>
      <vt:lpstr>tide</vt:lpstr>
      <vt:lpstr>discharges</vt:lpstr>
    </vt:vector>
  </TitlesOfParts>
  <Manager/>
  <Company>UGent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Long Ho</dc:creator>
  <cp:keywords/>
  <dc:description/>
  <cp:lastModifiedBy>Long Ho</cp:lastModifiedBy>
  <cp:revision/>
  <dcterms:created xsi:type="dcterms:W3CDTF">2021-03-17T08:05:40Z</dcterms:created>
  <dcterms:modified xsi:type="dcterms:W3CDTF">2022-12-05T13:47:19Z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0x01010025C68BD5D556704698F91D8FE42DAF3B</vt:lpwstr>
  </property>
</Properties>
</file>