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730" windowHeight="11760" activeTab="2"/>
  </bookViews>
  <sheets>
    <sheet name="Diagram Window" sheetId="5" r:id="rId1"/>
    <sheet name="Equipment Specifications" sheetId="7" r:id="rId2"/>
    <sheet name="Economic Evaluation" sheetId="6" r:id="rId3"/>
    <sheet name="solution" sheetId="4" r:id="rId4"/>
  </sheets>
  <calcPr calcId="145621"/>
</workbook>
</file>

<file path=xl/calcChain.xml><?xml version="1.0" encoding="utf-8"?>
<calcChain xmlns="http://schemas.openxmlformats.org/spreadsheetml/2006/main">
  <c r="B22" i="6" l="1"/>
  <c r="C22" i="6" s="1"/>
  <c r="B21" i="6"/>
  <c r="C21" i="6" s="1"/>
  <c r="B20" i="6"/>
  <c r="C20" i="6" s="1"/>
  <c r="B17" i="6"/>
  <c r="C17" i="6" s="1"/>
  <c r="B24" i="6"/>
  <c r="C24" i="6" s="1"/>
  <c r="B23" i="6"/>
  <c r="C23" i="6" s="1"/>
  <c r="B19" i="6"/>
  <c r="C19" i="6" s="1"/>
  <c r="B18" i="6"/>
  <c r="C18" i="6" s="1"/>
  <c r="B25" i="6" l="1"/>
  <c r="C25" i="6" s="1"/>
  <c r="B66" i="7"/>
  <c r="B64" i="7"/>
  <c r="B65" i="7" s="1"/>
  <c r="B63" i="7"/>
  <c r="B62" i="7"/>
  <c r="B61" i="7"/>
  <c r="B60" i="7"/>
  <c r="B59" i="7"/>
  <c r="B58" i="7"/>
  <c r="B54" i="7" l="1"/>
  <c r="B53" i="7"/>
  <c r="B52" i="7"/>
  <c r="B51" i="7"/>
  <c r="B50" i="7"/>
  <c r="B49" i="7"/>
  <c r="B47" i="7"/>
  <c r="B46" i="7"/>
  <c r="B45" i="7"/>
  <c r="B44" i="7"/>
  <c r="B43" i="7"/>
  <c r="B42" i="7"/>
  <c r="B41" i="7"/>
  <c r="B40" i="7"/>
  <c r="B39" i="7"/>
  <c r="B38" i="7"/>
  <c r="B37" i="7"/>
  <c r="B36" i="7"/>
  <c r="B23" i="7"/>
  <c r="B31" i="7"/>
  <c r="B30" i="7"/>
  <c r="B25" i="7"/>
  <c r="B24" i="7"/>
  <c r="B22" i="7"/>
  <c r="B32" i="7" s="1"/>
  <c r="B48" i="7" l="1"/>
  <c r="B21" i="7"/>
  <c r="B20" i="7"/>
  <c r="B28" i="7"/>
  <c r="B27" i="7"/>
  <c r="B26" i="7"/>
  <c r="B16" i="7"/>
  <c r="B15" i="7"/>
  <c r="B14" i="7"/>
  <c r="B13" i="7"/>
  <c r="B12" i="7"/>
  <c r="B10" i="7"/>
  <c r="B9" i="7"/>
  <c r="B6" i="7"/>
  <c r="B4" i="7"/>
  <c r="B11" i="7"/>
  <c r="B7" i="7"/>
  <c r="C46" i="6"/>
  <c r="C47" i="6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29" i="7" l="1"/>
  <c r="B50" i="6"/>
  <c r="C50" i="6" s="1"/>
  <c r="B49" i="6" l="1"/>
  <c r="C49" i="6" s="1"/>
  <c r="B48" i="6"/>
  <c r="C48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 l="1"/>
  <c r="C39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12" i="6" l="1"/>
  <c r="C12" i="6" s="1"/>
</calcChain>
</file>

<file path=xl/comments1.xml><?xml version="1.0" encoding="utf-8"?>
<comments xmlns="http://schemas.openxmlformats.org/spreadsheetml/2006/main">
  <authors>
    <author>Louis Le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Condenser barre module cost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Cooling tower barre module cost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Heat pipe heat exchanger barre module cost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Pump barre module cost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Shell-and-tube recuperator barre module cost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Turbine barre module cost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Generator barre module cost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Gearbox barre module cost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Total barre module cost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Condenser barre module cost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Cooling tower barre module cost
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Heat pipe heat exchanger barre module cost
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Pump barre module cost
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Shell-and-tube recuperator barre module cost
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Turbine barre module cost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Generator barre module cost
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Gearbox barre module cost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Total barre module cost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Total barre module cost
Cost_tbm = </t>
        </r>
        <r>
          <rPr>
            <sz val="9"/>
            <color indexed="81"/>
            <rFont val="Symbol"/>
            <family val="1"/>
            <charset val="2"/>
          </rPr>
          <t xml:space="preserve"> S</t>
        </r>
        <r>
          <rPr>
            <sz val="9"/>
            <color indexed="81"/>
            <rFont val="Calibri"/>
            <family val="2"/>
            <scheme val="minor"/>
          </rPr>
          <t>C</t>
        </r>
        <r>
          <rPr>
            <sz val="9"/>
            <color indexed="81"/>
            <rFont val="Tahoma"/>
            <family val="2"/>
          </rPr>
          <t>ost_bm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Site preparation or development cost
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Service facilities (e.g. utility lines and industrial buildings) cost
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Allocated cost to purchase or upgrade the utility plants and other offsite facilities (e.g. for steam and electricity generation and waste disposal)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Direct permanent investment cost: C_DPI = C_tbm+C_site+C_serv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Contigencies and contractor's fee: Contigencies are unanticipated costs incurred during the construction of a plant)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Total depreciable capital, C_TDC = C_cont+C_DPI
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The cost of land is nondepreciable, since land rarely decreases in value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When a company desires to use a product or process that is covered by patents owned by another company, a license may sometime be negociated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Louis Le:</t>
        </r>
        <r>
          <rPr>
            <sz val="9"/>
            <color indexed="81"/>
            <rFont val="Tahoma"/>
            <family val="2"/>
          </rPr>
          <t xml:space="preserve">
Total permanent investment. The salvage value at the end of life</t>
        </r>
      </text>
    </comment>
  </commentList>
</comments>
</file>

<file path=xl/sharedStrings.xml><?xml version="1.0" encoding="utf-8"?>
<sst xmlns="http://schemas.openxmlformats.org/spreadsheetml/2006/main" count="495" uniqueCount="365">
  <si>
    <t>in</t>
  </si>
  <si>
    <t>Main</t>
  </si>
  <si>
    <t>[m^2]</t>
  </si>
  <si>
    <t>'water'</t>
  </si>
  <si>
    <t>Cost_bm_cond</t>
  </si>
  <si>
    <t>Cost_bm_Ctower</t>
  </si>
  <si>
    <t>Cost_bm_hphex</t>
  </si>
  <si>
    <t>Cost_bm_pp</t>
  </si>
  <si>
    <t>Cost_bm_rec</t>
  </si>
  <si>
    <t>Cost_bm_tur</t>
  </si>
  <si>
    <t>Cost_gearbox</t>
  </si>
  <si>
    <t>Cost_gen</t>
  </si>
  <si>
    <t>Cost_tbm</t>
  </si>
  <si>
    <t>C_alloc</t>
  </si>
  <si>
    <t>C_cont</t>
  </si>
  <si>
    <t>C_DPI</t>
  </si>
  <si>
    <t>C_serv</t>
  </si>
  <si>
    <t>C_site</t>
  </si>
  <si>
    <t>C_TCI</t>
  </si>
  <si>
    <t>C_TDC</t>
  </si>
  <si>
    <t>C_TPI</t>
  </si>
  <si>
    <t>[Pa]</t>
  </si>
  <si>
    <t>[-]</t>
  </si>
  <si>
    <t>'heos::CO2[0.0854]&amp;Water[0.1634]&amp;Oxygen[0.0248]&amp;Nitrogen[0.7264]'</t>
  </si>
  <si>
    <t>'film'</t>
  </si>
  <si>
    <t>[J/kg]</t>
  </si>
  <si>
    <t>[m]</t>
  </si>
  <si>
    <t>[kg/s]</t>
  </si>
  <si>
    <t>OPEX</t>
  </si>
  <si>
    <t>'cyclopentane'</t>
  </si>
  <si>
    <t>[W]</t>
  </si>
  <si>
    <t>'True'</t>
  </si>
  <si>
    <t>'False'</t>
  </si>
  <si>
    <t>SIC</t>
  </si>
  <si>
    <t>[K]</t>
  </si>
  <si>
    <t>[m/s]</t>
  </si>
  <si>
    <t>Capex</t>
  </si>
  <si>
    <t>Component</t>
  </si>
  <si>
    <t>US$</t>
  </si>
  <si>
    <t>Component barre module costs</t>
  </si>
  <si>
    <t>Total</t>
  </si>
  <si>
    <t>Different components of Capex</t>
  </si>
  <si>
    <t>€</t>
  </si>
  <si>
    <t>Date</t>
  </si>
  <si>
    <t>US$/€ Exchange Rate</t>
  </si>
  <si>
    <t>Exchange Rate</t>
  </si>
  <si>
    <t>22/04/2016</t>
  </si>
  <si>
    <t>C_land</t>
  </si>
  <si>
    <t xml:space="preserve">C_royal </t>
  </si>
  <si>
    <t>C_DMC</t>
  </si>
  <si>
    <t>C_MO</t>
  </si>
  <si>
    <t>C_MS</t>
  </si>
  <si>
    <t>C_MWB</t>
  </si>
  <si>
    <t>C_SB</t>
  </si>
  <si>
    <t>C_UT</t>
  </si>
  <si>
    <t>1. Thermosyphon evaporator</t>
  </si>
  <si>
    <t>Units</t>
  </si>
  <si>
    <t xml:space="preserve">Specification </t>
  </si>
  <si>
    <t>Value</t>
  </si>
  <si>
    <t>Heat transfer rate</t>
  </si>
  <si>
    <t>Heat transfer surface area</t>
  </si>
  <si>
    <t>Thermosyphon working medium</t>
  </si>
  <si>
    <t>Hot fluid (fumes) side pressure</t>
  </si>
  <si>
    <t>Cold fluid (organic fluid) side pressure</t>
  </si>
  <si>
    <t>Hot fluid (exhaust gas)</t>
  </si>
  <si>
    <t>Cold fluid (organic fluid)</t>
  </si>
  <si>
    <t>Hot fluid mass flow rate</t>
  </si>
  <si>
    <t>Cold fluid mass flow rate</t>
  </si>
  <si>
    <t>Hot fluid inlet temperature</t>
  </si>
  <si>
    <t>Expected hot fluid outlet temperature</t>
  </si>
  <si>
    <t>Cold fluid inlet temperature</t>
  </si>
  <si>
    <t>Cold fluid outlet temperature</t>
  </si>
  <si>
    <t>2. Pump and motor</t>
  </si>
  <si>
    <t>Working medium</t>
  </si>
  <si>
    <t>Required shaft power</t>
  </si>
  <si>
    <t>Pump isentropic (or hydraulic) efficiency</t>
  </si>
  <si>
    <t>Electrical motor efficiency</t>
  </si>
  <si>
    <t>Motor required power input</t>
  </si>
  <si>
    <t>Available NPSH</t>
  </si>
  <si>
    <t>Working fluid volume flow rate</t>
  </si>
  <si>
    <t>[m^3/h]</t>
  </si>
  <si>
    <t>Inlet pressure</t>
  </si>
  <si>
    <t>Inlet temperature</t>
  </si>
  <si>
    <t>Outlet temperature</t>
  </si>
  <si>
    <t>[ft]</t>
  </si>
  <si>
    <t>Pump total head</t>
  </si>
  <si>
    <t>Pressure difference</t>
  </si>
  <si>
    <t>Outlet pressure</t>
  </si>
  <si>
    <t xml:space="preserve">Hot and cold fluid </t>
  </si>
  <si>
    <t>3. Shell-and-tube recuperator (Internal heat exchanger)</t>
  </si>
  <si>
    <t>Tube side pressure</t>
  </si>
  <si>
    <t>Shell side pressure</t>
  </si>
  <si>
    <t>Hot and cold mass flow rate</t>
  </si>
  <si>
    <t>Need to be validated</t>
  </si>
  <si>
    <t xml:space="preserve">Shell side pressure drop </t>
  </si>
  <si>
    <t>Tube side pressure drop</t>
  </si>
  <si>
    <t>Hot (vapour) side inlet temperature</t>
  </si>
  <si>
    <t>Hot (vapour) side outlet temperature</t>
  </si>
  <si>
    <t>Cold (liquid) side inlet temperature</t>
  </si>
  <si>
    <t>Cold (liquid) side outlet temperature</t>
  </si>
  <si>
    <t>LMTD</t>
  </si>
  <si>
    <t>Overall heat transfer coefficient</t>
  </si>
  <si>
    <t>[W.m^2/K]</t>
  </si>
  <si>
    <t>Shell pass number</t>
  </si>
  <si>
    <t>Tube pass number</t>
  </si>
  <si>
    <t>Tube outer diameter</t>
  </si>
  <si>
    <t>Tube inner diameter</t>
  </si>
  <si>
    <t>Tube length</t>
  </si>
  <si>
    <t>'Carbon_Steel'</t>
  </si>
  <si>
    <t>'triangle'</t>
  </si>
  <si>
    <t>'square'</t>
  </si>
  <si>
    <t>'C:\Users\Louis</t>
  </si>
  <si>
    <t>Variables</t>
  </si>
  <si>
    <t>altitude</t>
  </si>
  <si>
    <t>Approach</t>
  </si>
  <si>
    <t>A_floor</t>
  </si>
  <si>
    <t>A_hex_cond</t>
  </si>
  <si>
    <t>A_hex_rec</t>
  </si>
  <si>
    <t>A_i_cond</t>
  </si>
  <si>
    <t>A_i_rec</t>
  </si>
  <si>
    <t>A_phe</t>
  </si>
  <si>
    <t>beta</t>
  </si>
  <si>
    <t>blower_power_cell</t>
  </si>
  <si>
    <t>b_phe</t>
  </si>
  <si>
    <t>Capacity</t>
  </si>
  <si>
    <t>CEPCI</t>
  </si>
  <si>
    <t>cfm_cell</t>
  </si>
  <si>
    <t>CO2_emit</t>
  </si>
  <si>
    <t>COC</t>
  </si>
  <si>
    <t>Coolant$</t>
  </si>
  <si>
    <t>Cost_bm0_cond</t>
  </si>
  <si>
    <t>Cost_bm0_pp</t>
  </si>
  <si>
    <t>Cost_bm0_rec</t>
  </si>
  <si>
    <t>Cost_bm0_tur</t>
  </si>
  <si>
    <t>Cost_cell</t>
  </si>
  <si>
    <t>Cost_D</t>
  </si>
  <si>
    <t>Cost_gen1</t>
  </si>
  <si>
    <t>Cost_gen_Leighton</t>
  </si>
  <si>
    <t>Cost_p0_cond</t>
  </si>
  <si>
    <t>Cost_p0_pp</t>
  </si>
  <si>
    <t>Cost_p0_rec</t>
  </si>
  <si>
    <t>Cost_p0_tur</t>
  </si>
  <si>
    <t>Cost_pump1</t>
  </si>
  <si>
    <t>Cost_p_cond</t>
  </si>
  <si>
    <t>Cost_p_pp</t>
  </si>
  <si>
    <t>Cost_p_rec</t>
  </si>
  <si>
    <t>Cost_p_tur</t>
  </si>
  <si>
    <t>Cost_SST_060</t>
  </si>
  <si>
    <t>Cost_tbm0</t>
  </si>
  <si>
    <t>Cost_tur1</t>
  </si>
  <si>
    <t>Cost_tur_Alfistol</t>
  </si>
  <si>
    <t>Cost_tur_Leighton</t>
  </si>
  <si>
    <t>cp_f</t>
  </si>
  <si>
    <t>C_GR</t>
  </si>
  <si>
    <t>C_royal</t>
  </si>
  <si>
    <t>C_startup</t>
  </si>
  <si>
    <t>C_TM</t>
  </si>
  <si>
    <t>DELTAh_ev</t>
  </si>
  <si>
    <t>DELTAp_cf_phe</t>
  </si>
  <si>
    <t>DELTAp_hf_phe</t>
  </si>
  <si>
    <t>DELTAp_shell_cond</t>
  </si>
  <si>
    <t>DELTAp_shell_rec</t>
  </si>
  <si>
    <t>DELTAp_tube_cond</t>
  </si>
  <si>
    <t>DELTAp_tube_rec</t>
  </si>
  <si>
    <t>DELTAT_pp_cond</t>
  </si>
  <si>
    <t>DELTAT_pp_rec</t>
  </si>
  <si>
    <t>Do\Di_cond</t>
  </si>
  <si>
    <t>Do\Di_rec</t>
  </si>
  <si>
    <t>DP_cond</t>
  </si>
  <si>
    <t>DP_coolant</t>
  </si>
  <si>
    <t>D_shell_cond</t>
  </si>
  <si>
    <t>D_shell_rec</t>
  </si>
  <si>
    <t>eff_rec</t>
  </si>
  <si>
    <t>epsilon_s_pp</t>
  </si>
  <si>
    <t>epsilon_s_tur</t>
  </si>
  <si>
    <t>eta_gen</t>
  </si>
  <si>
    <t>eta_motor</t>
  </si>
  <si>
    <t>eta_ORC</t>
  </si>
  <si>
    <t>eta_pp</t>
  </si>
  <si>
    <t>eta_s_tur</t>
  </si>
  <si>
    <t>eta_tur</t>
  </si>
  <si>
    <t>ExGasCMI$</t>
  </si>
  <si>
    <t>fill$</t>
  </si>
  <si>
    <t>F_bm_cond</t>
  </si>
  <si>
    <t>F_bm_pp</t>
  </si>
  <si>
    <t>F_bm_rec</t>
  </si>
  <si>
    <t>F_bm_tur</t>
  </si>
  <si>
    <t>F_m_cond</t>
  </si>
  <si>
    <t>F_m_pp</t>
  </si>
  <si>
    <t>F_m_rec</t>
  </si>
  <si>
    <t>F_m_tur</t>
  </si>
  <si>
    <t>F_p_cond</t>
  </si>
  <si>
    <t>F_p_pp</t>
  </si>
  <si>
    <t>F_p_rec</t>
  </si>
  <si>
    <t>F_p_tur</t>
  </si>
  <si>
    <t>G</t>
  </si>
  <si>
    <t>hours_annual</t>
  </si>
  <si>
    <t>h_cool_cdl</t>
  </si>
  <si>
    <t>h_cool_cdv</t>
  </si>
  <si>
    <t>h_cool_in</t>
  </si>
  <si>
    <t>h_cool_out</t>
  </si>
  <si>
    <t>H_fill</t>
  </si>
  <si>
    <t>h_in_pp</t>
  </si>
  <si>
    <t>h_in_tur</t>
  </si>
  <si>
    <t>h_l_out_rec</t>
  </si>
  <si>
    <t>h_out_pp</t>
  </si>
  <si>
    <t>h_out_s_tur</t>
  </si>
  <si>
    <t>h_out_tur</t>
  </si>
  <si>
    <t>H_pp</t>
  </si>
  <si>
    <t>H_rz</t>
  </si>
  <si>
    <t>h_shell_cond</t>
  </si>
  <si>
    <t>h_shell_rec</t>
  </si>
  <si>
    <t>H_sp</t>
  </si>
  <si>
    <t>H_st_pp</t>
  </si>
  <si>
    <t>H_tower</t>
  </si>
  <si>
    <t>h_tube_cond</t>
  </si>
  <si>
    <t>h_tube_rec</t>
  </si>
  <si>
    <t>h_v_out_rec</t>
  </si>
  <si>
    <t>ID_cond</t>
  </si>
  <si>
    <t>ID_rec</t>
  </si>
  <si>
    <t>KaV\L</t>
  </si>
  <si>
    <t>k_phe</t>
  </si>
  <si>
    <t>L</t>
  </si>
  <si>
    <t>LMTD_cond</t>
  </si>
  <si>
    <t>LMTD_rec</t>
  </si>
  <si>
    <t>L\Ds_rec</t>
  </si>
  <si>
    <t>L_cell</t>
  </si>
  <si>
    <t>L_h</t>
  </si>
  <si>
    <t>L_hex_cond</t>
  </si>
  <si>
    <t>L_hex_rec</t>
  </si>
  <si>
    <t>L_hex_rec_ft</t>
  </si>
  <si>
    <t>m_dot_coolant</t>
  </si>
  <si>
    <t>m_dot_f</t>
  </si>
  <si>
    <t>m_dot_wf</t>
  </si>
  <si>
    <t>M_wm</t>
  </si>
  <si>
    <t>NPSH_pp</t>
  </si>
  <si>
    <t>Ns_opt_pp</t>
  </si>
  <si>
    <t>N_cell_Ctower</t>
  </si>
  <si>
    <t>N_phe</t>
  </si>
  <si>
    <t>N_pp</t>
  </si>
  <si>
    <t>N_sp_cond</t>
  </si>
  <si>
    <t>N_sp_rec</t>
  </si>
  <si>
    <t>n_st_pp</t>
  </si>
  <si>
    <t>N_S_tur</t>
  </si>
  <si>
    <t>N_tp_cond</t>
  </si>
  <si>
    <t>N_tp_rec</t>
  </si>
  <si>
    <t>N_t_cond</t>
  </si>
  <si>
    <t>N_t_rec</t>
  </si>
  <si>
    <t>OD_cond</t>
  </si>
  <si>
    <t>OD_rec</t>
  </si>
  <si>
    <t>ORCF$</t>
  </si>
  <si>
    <t>over_design</t>
  </si>
  <si>
    <t>over_design_cond</t>
  </si>
  <si>
    <t>PBP</t>
  </si>
  <si>
    <t>phi_phe</t>
  </si>
  <si>
    <t>pitch_cond$</t>
  </si>
  <si>
    <t>pitch_rec$</t>
  </si>
  <si>
    <t>Pitch_r_cond</t>
  </si>
  <si>
    <t>Pitch_r_rec</t>
  </si>
  <si>
    <t>profit_gross</t>
  </si>
  <si>
    <t>profit_net</t>
  </si>
  <si>
    <t>P_atm</t>
  </si>
  <si>
    <t>P_cd_wf</t>
  </si>
  <si>
    <t>P_cool_in</t>
  </si>
  <si>
    <t>P_crit_wf</t>
  </si>
  <si>
    <t>P_ev_wf</t>
  </si>
  <si>
    <t>P_fan_SI</t>
  </si>
  <si>
    <t>p_in_f</t>
  </si>
  <si>
    <t>P_l_out_rec</t>
  </si>
  <si>
    <t>P_pp</t>
  </si>
  <si>
    <t>p_r_cd</t>
  </si>
  <si>
    <t>p_r_ev</t>
  </si>
  <si>
    <t>P_v_out_rec</t>
  </si>
  <si>
    <t>Q_dot</t>
  </si>
  <si>
    <t>Q_dot_cond</t>
  </si>
  <si>
    <t>Q_dot_cond1</t>
  </si>
  <si>
    <t>Q_dot_f</t>
  </si>
  <si>
    <t>Q_dot_h</t>
  </si>
  <si>
    <t>Q_dot_h_rec</t>
  </si>
  <si>
    <t>Q_dot_phe</t>
  </si>
  <si>
    <t>Q_dot_rec</t>
  </si>
  <si>
    <t>q_flux_cond</t>
  </si>
  <si>
    <t>q_flux_cond1</t>
  </si>
  <si>
    <t>Range</t>
  </si>
  <si>
    <t>Rec$</t>
  </si>
  <si>
    <t>rho_bar_coolant</t>
  </si>
  <si>
    <t>RH_a_in</t>
  </si>
  <si>
    <t>RH_a_out</t>
  </si>
  <si>
    <t>ROI</t>
  </si>
  <si>
    <t>RPM_tur</t>
  </si>
  <si>
    <t>R_ft</t>
  </si>
  <si>
    <t>Saving_el</t>
  </si>
  <si>
    <t>SC</t>
  </si>
  <si>
    <t>SC$</t>
  </si>
  <si>
    <t>SH</t>
  </si>
  <si>
    <t>SH$</t>
  </si>
  <si>
    <t>SP</t>
  </si>
  <si>
    <t>SP_last</t>
  </si>
  <si>
    <t>stage_N#</t>
  </si>
  <si>
    <t>S_annual</t>
  </si>
  <si>
    <t>s_in_tur</t>
  </si>
  <si>
    <t>Tube_Mat$</t>
  </si>
  <si>
    <t>T_a_in</t>
  </si>
  <si>
    <t>T_a_out</t>
  </si>
  <si>
    <t>T_b_wf</t>
  </si>
  <si>
    <t>T_cd_wf</t>
  </si>
  <si>
    <t>T_cool_cdl</t>
  </si>
  <si>
    <t>T_cool_cdv</t>
  </si>
  <si>
    <t>T_cool_in</t>
  </si>
  <si>
    <t>T_cool_out</t>
  </si>
  <si>
    <t>T_crit_wf</t>
  </si>
  <si>
    <t>T_crit_wf_C</t>
  </si>
  <si>
    <t>T_dp</t>
  </si>
  <si>
    <t>T_ev_wf</t>
  </si>
  <si>
    <t>T_ev_wf_C</t>
  </si>
  <si>
    <t>T_in_f</t>
  </si>
  <si>
    <t>T_in_pp</t>
  </si>
  <si>
    <t>T_in_tur</t>
  </si>
  <si>
    <t>T_l_out_rec</t>
  </si>
  <si>
    <t>T_out_f</t>
  </si>
  <si>
    <t>T_out_pp</t>
  </si>
  <si>
    <t>T_out_tur</t>
  </si>
  <si>
    <t>t_phe</t>
  </si>
  <si>
    <t>t_tube_cond</t>
  </si>
  <si>
    <t>t_tube_rec</t>
  </si>
  <si>
    <t>T_v_out_rec</t>
  </si>
  <si>
    <t>T_wetbulb</t>
  </si>
  <si>
    <t>T_w_cond</t>
  </si>
  <si>
    <t>U_c_cond</t>
  </si>
  <si>
    <t>U_f_cond</t>
  </si>
  <si>
    <t>U_f_rec</t>
  </si>
  <si>
    <t>U_phe</t>
  </si>
  <si>
    <t>VarFileName$</t>
  </si>
  <si>
    <t>Le\Dropbox\workspace\ORCAL\ORCAL_Models\StaticModels\ORCAL_ORC_Sizing_Optim_20160426_beta.var'</t>
  </si>
  <si>
    <t>V_dot_in_pp</t>
  </si>
  <si>
    <t>V_dot_in_tur</t>
  </si>
  <si>
    <t>V_dot_out_s_tur</t>
  </si>
  <si>
    <t>V_r</t>
  </si>
  <si>
    <t>V_tube_cond</t>
  </si>
  <si>
    <t>V_tube_ini_cond</t>
  </si>
  <si>
    <t>V_tube_rec</t>
  </si>
  <si>
    <t>V_tube_rec_ini</t>
  </si>
  <si>
    <t>V_wm_anual</t>
  </si>
  <si>
    <t>W_cell</t>
  </si>
  <si>
    <t>W_dot_ORC</t>
  </si>
  <si>
    <t>W_dot_ORC1</t>
  </si>
  <si>
    <t>W_dot_pp</t>
  </si>
  <si>
    <t>W_dot_tur</t>
  </si>
  <si>
    <t>w_phe</t>
  </si>
  <si>
    <t>W_tur</t>
  </si>
  <si>
    <t>X_B_cond</t>
  </si>
  <si>
    <t>X_B_rec</t>
  </si>
  <si>
    <t>4. Turbo-Generator</t>
  </si>
  <si>
    <t>Turbine inlet temperature</t>
  </si>
  <si>
    <t>Turbine inlet pressure</t>
  </si>
  <si>
    <t>Mass flow rate</t>
  </si>
  <si>
    <t>Turbine stage number</t>
  </si>
  <si>
    <t>Turbine power output</t>
  </si>
  <si>
    <t>Turbine efficiency</t>
  </si>
  <si>
    <t>Electrical Generator power output</t>
  </si>
  <si>
    <t>Electrical generator efficiency</t>
  </si>
  <si>
    <t>Rotation speed of turbine blade</t>
  </si>
  <si>
    <t>[rpm]</t>
  </si>
  <si>
    <t>Cost_p_tot</t>
  </si>
  <si>
    <t>Purchase equipment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</si>
</sst>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ymbol"/>
      <family val="1"/>
      <charset val="2"/>
    </font>
    <font>
      <sz val="9"/>
      <color indexed="8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2" fillId="0" borderId="1" xfId="0" applyFont="1" applyBorder="1"/>
    <xf numFmtId="0" fontId="1" fillId="0" borderId="0" xfId="0" applyFont="1"/>
    <xf numFmtId="0" fontId="0" fillId="0" borderId="1" xfId="0" applyFont="1" applyBorder="1"/>
    <xf numFmtId="164" fontId="0" fillId="0" borderId="1" xfId="0" applyNumberFormat="1" applyBorder="1"/>
    <xf numFmtId="0" fontId="7" fillId="0" borderId="0" xfId="0" applyFont="1"/>
    <xf numFmtId="0" fontId="0" fillId="0" borderId="6" xfId="0" applyFill="1" applyBorder="1"/>
    <xf numFmtId="0" fontId="0" fillId="0" borderId="7" xfId="0" applyFill="1" applyBorder="1"/>
    <xf numFmtId="0" fontId="0" fillId="0" borderId="7" xfId="0" applyBorder="1"/>
    <xf numFmtId="2" fontId="0" fillId="0" borderId="1" xfId="0" applyNumberForma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'Economic Evaluation'!$A$2:$C$2</c:f>
              <c:strCache>
                <c:ptCount val="1"/>
                <c:pt idx="0">
                  <c:v>Component barre module costs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'Economic Evaluation'!$A$4:$A$11</c:f>
              <c:strCache>
                <c:ptCount val="8"/>
                <c:pt idx="0">
                  <c:v>Cost_bm_cond</c:v>
                </c:pt>
                <c:pt idx="1">
                  <c:v>Cost_bm_Ctower</c:v>
                </c:pt>
                <c:pt idx="2">
                  <c:v>Cost_bm_hphex</c:v>
                </c:pt>
                <c:pt idx="3">
                  <c:v>Cost_bm_pp</c:v>
                </c:pt>
                <c:pt idx="4">
                  <c:v>Cost_bm_rec</c:v>
                </c:pt>
                <c:pt idx="5">
                  <c:v>Cost_bm_tur</c:v>
                </c:pt>
                <c:pt idx="6">
                  <c:v>Cost_gen</c:v>
                </c:pt>
                <c:pt idx="7">
                  <c:v>Cost_gearbox</c:v>
                </c:pt>
              </c:strCache>
            </c:strRef>
          </c:cat>
          <c:val>
            <c:numRef>
              <c:f>'Economic Evaluation'!$B$4:$B$11</c:f>
              <c:numCache>
                <c:formatCode>General</c:formatCode>
                <c:ptCount val="8"/>
                <c:pt idx="0">
                  <c:v>162566</c:v>
                </c:pt>
                <c:pt idx="1">
                  <c:v>37370</c:v>
                </c:pt>
                <c:pt idx="2">
                  <c:v>234355</c:v>
                </c:pt>
                <c:pt idx="3">
                  <c:v>53945</c:v>
                </c:pt>
                <c:pt idx="4">
                  <c:v>205550</c:v>
                </c:pt>
                <c:pt idx="5">
                  <c:v>1294000</c:v>
                </c:pt>
                <c:pt idx="6">
                  <c:v>62056</c:v>
                </c:pt>
                <c:pt idx="7">
                  <c:v>24823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27</xdr:col>
      <xdr:colOff>295275</xdr:colOff>
      <xdr:row>20</xdr:row>
      <xdr:rowOff>85725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578167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19050</xdr:rowOff>
    </xdr:from>
    <xdr:to>
      <xdr:col>19</xdr:col>
      <xdr:colOff>569595</xdr:colOff>
      <xdr:row>39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>
      <selection activeCell="S1" sqref="S1:S100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opLeftCell="A52" workbookViewId="0">
      <selection activeCell="B75" sqref="B75"/>
    </sheetView>
  </sheetViews>
  <sheetFormatPr defaultRowHeight="15" x14ac:dyDescent="0.25"/>
  <cols>
    <col min="1" max="1" width="37.7109375" bestFit="1" customWidth="1"/>
    <col min="2" max="2" width="65" bestFit="1" customWidth="1"/>
    <col min="3" max="3" width="10.5703125" bestFit="1" customWidth="1"/>
  </cols>
  <sheetData>
    <row r="2" spans="1:3" x14ac:dyDescent="0.25">
      <c r="A2" s="9" t="s">
        <v>55</v>
      </c>
    </row>
    <row r="3" spans="1:3" x14ac:dyDescent="0.25">
      <c r="A3" s="3" t="s">
        <v>57</v>
      </c>
      <c r="B3" s="3" t="s">
        <v>58</v>
      </c>
      <c r="C3" s="3" t="s">
        <v>56</v>
      </c>
    </row>
    <row r="4" spans="1:3" x14ac:dyDescent="0.25">
      <c r="A4" s="10" t="s">
        <v>64</v>
      </c>
      <c r="B4" s="2" t="str">
        <f>VLOOKUP("ExGasCMI$", solution!$A$1:$C$1000, 2, FALSE)</f>
        <v>'heos::CO2[0.0854]&amp;Water[0.1634]&amp;Oxygen[0.0248]&amp;Nitrogen[0.7264]'</v>
      </c>
      <c r="C4" s="2" t="s">
        <v>22</v>
      </c>
    </row>
    <row r="5" spans="1:3" x14ac:dyDescent="0.25">
      <c r="A5" s="10" t="s">
        <v>61</v>
      </c>
      <c r="B5" s="2"/>
      <c r="C5" s="2" t="s">
        <v>22</v>
      </c>
    </row>
    <row r="6" spans="1:3" x14ac:dyDescent="0.25">
      <c r="A6" s="10" t="s">
        <v>65</v>
      </c>
      <c r="B6" s="2" t="str">
        <f>VLOOKUP("ORCF$",solution!$A$1:$C$1000,2,FALSE)</f>
        <v>'cyclopentane'</v>
      </c>
      <c r="C6" s="2" t="s">
        <v>22</v>
      </c>
    </row>
    <row r="7" spans="1:3" x14ac:dyDescent="0.25">
      <c r="A7" s="10" t="s">
        <v>59</v>
      </c>
      <c r="B7" s="2">
        <f>VLOOKUP("Q_dot_h",solution!A1:$C$1000,2,FALSE)</f>
        <v>4088000</v>
      </c>
      <c r="C7" s="2" t="s">
        <v>30</v>
      </c>
    </row>
    <row r="8" spans="1:3" x14ac:dyDescent="0.25">
      <c r="A8" s="2" t="s">
        <v>60</v>
      </c>
      <c r="B8" s="2"/>
      <c r="C8" s="2"/>
    </row>
    <row r="9" spans="1:3" x14ac:dyDescent="0.25">
      <c r="A9" s="2" t="s">
        <v>62</v>
      </c>
      <c r="B9" s="2">
        <f>VLOOKUP("P_in_f",solution!$A$1:$C$1000,2, FALSE)</f>
        <v>101325</v>
      </c>
      <c r="C9" s="2" t="s">
        <v>21</v>
      </c>
    </row>
    <row r="10" spans="1:3" x14ac:dyDescent="0.25">
      <c r="A10" s="2" t="s">
        <v>63</v>
      </c>
      <c r="B10" s="2">
        <f>VLOOKUP("P_ev_wf", solution!$A$1:$C$1000,2,FALSE)</f>
        <v>2647000</v>
      </c>
      <c r="C10" s="2" t="s">
        <v>21</v>
      </c>
    </row>
    <row r="11" spans="1:3" x14ac:dyDescent="0.25">
      <c r="A11" s="6" t="s">
        <v>66</v>
      </c>
      <c r="B11" s="2">
        <f>VLOOKUP("m_dot_f",solution!$A$1:$C$1000,2,FALSE)</f>
        <v>32</v>
      </c>
      <c r="C11" s="6" t="s">
        <v>27</v>
      </c>
    </row>
    <row r="12" spans="1:3" x14ac:dyDescent="0.25">
      <c r="A12" s="6" t="s">
        <v>67</v>
      </c>
      <c r="B12" s="2">
        <f>VLOOKUP("m_dot_wf",solution!$A$1:$C$1000,2,FALSE)</f>
        <v>7.9429999999999996</v>
      </c>
      <c r="C12" s="6" t="s">
        <v>27</v>
      </c>
    </row>
    <row r="13" spans="1:3" x14ac:dyDescent="0.25">
      <c r="A13" s="6" t="s">
        <v>68</v>
      </c>
      <c r="B13" s="2">
        <f>VLOOKUP("T_in_f",solution!$A$1:$C$1000,2,FALSE)</f>
        <v>993.2</v>
      </c>
      <c r="C13" s="6" t="s">
        <v>34</v>
      </c>
    </row>
    <row r="14" spans="1:3" x14ac:dyDescent="0.25">
      <c r="A14" s="6" t="s">
        <v>69</v>
      </c>
      <c r="B14" s="2">
        <f>VLOOKUP("T_out_f",solution!$A$1:$C$1000,2,FALSE)</f>
        <v>893.2</v>
      </c>
      <c r="C14" s="6" t="s">
        <v>34</v>
      </c>
    </row>
    <row r="15" spans="1:3" x14ac:dyDescent="0.25">
      <c r="A15" s="6" t="s">
        <v>70</v>
      </c>
      <c r="B15" s="2">
        <f>VLOOKUP("T_l_out_rec",solution!$A$1:$C$1000,2,FALSE)</f>
        <v>350.2</v>
      </c>
      <c r="C15" s="6" t="s">
        <v>34</v>
      </c>
    </row>
    <row r="16" spans="1:3" x14ac:dyDescent="0.25">
      <c r="A16" s="6" t="s">
        <v>71</v>
      </c>
      <c r="B16" s="2">
        <f>VLOOKUP("T_in_tur",solution!$A$1:$C$1000,2,FALSE)</f>
        <v>473.2</v>
      </c>
      <c r="C16" s="6" t="s">
        <v>34</v>
      </c>
    </row>
    <row r="19" spans="1:3" x14ac:dyDescent="0.25">
      <c r="A19" s="9" t="s">
        <v>72</v>
      </c>
    </row>
    <row r="20" spans="1:3" x14ac:dyDescent="0.25">
      <c r="A20" s="2" t="s">
        <v>73</v>
      </c>
      <c r="B20" s="2" t="str">
        <f>VLOOKUP("ORCF$",solution!$A$1:$C$1000,2,FALSE)</f>
        <v>'cyclopentane'</v>
      </c>
      <c r="C20" s="2" t="s">
        <v>22</v>
      </c>
    </row>
    <row r="21" spans="1:3" x14ac:dyDescent="0.25">
      <c r="A21" s="2" t="s">
        <v>79</v>
      </c>
      <c r="B21" s="2">
        <f>VLOOKUP("V_dot_in_pp",solution!$A$1:$C$1000,2,FALSE)</f>
        <v>39.43</v>
      </c>
      <c r="C21" s="2" t="s">
        <v>80</v>
      </c>
    </row>
    <row r="22" spans="1:3" x14ac:dyDescent="0.25">
      <c r="A22" s="2" t="s">
        <v>81</v>
      </c>
      <c r="B22" s="2">
        <f>VLOOKUP("P_cd_wf",solution!$A$1:$C$1000,2,FALSE)</f>
        <v>103829</v>
      </c>
      <c r="C22" s="2" t="s">
        <v>21</v>
      </c>
    </row>
    <row r="23" spans="1:3" x14ac:dyDescent="0.25">
      <c r="A23" s="2" t="s">
        <v>87</v>
      </c>
      <c r="B23" s="2">
        <f>VLOOKUP("P_ev_wf",solution!$A$1:$C$1000,2,FALSE)</f>
        <v>2647000</v>
      </c>
      <c r="C23" s="2" t="s">
        <v>21</v>
      </c>
    </row>
    <row r="24" spans="1:3" x14ac:dyDescent="0.25">
      <c r="A24" s="2" t="s">
        <v>82</v>
      </c>
      <c r="B24" s="2">
        <f>VLOOKUP("T_in_pp",solution!$A$1:$C$1000,2,FALSE)</f>
        <v>313.2</v>
      </c>
      <c r="C24" s="2" t="s">
        <v>34</v>
      </c>
    </row>
    <row r="25" spans="1:3" x14ac:dyDescent="0.25">
      <c r="A25" s="2" t="s">
        <v>83</v>
      </c>
      <c r="B25" s="2">
        <f>VLOOKUP("T_out_pp",solution!$A$1:$C$1000,2,FALSE)</f>
        <v>314.8</v>
      </c>
      <c r="C25" s="2" t="s">
        <v>34</v>
      </c>
    </row>
    <row r="26" spans="1:3" x14ac:dyDescent="0.25">
      <c r="A26" s="2" t="s">
        <v>74</v>
      </c>
      <c r="B26" s="2">
        <f>VLOOKUP("W_dot_pp",solution!$A$1:$C$1000,2,FALSE)</f>
        <v>39732</v>
      </c>
      <c r="C26" s="2" t="s">
        <v>30</v>
      </c>
    </row>
    <row r="27" spans="1:3" x14ac:dyDescent="0.25">
      <c r="A27" s="2" t="s">
        <v>75</v>
      </c>
      <c r="B27" s="2">
        <f>VLOOKUP("epsilon_s_pp",solution!$A$1:$C$1000,2,FALSE)</f>
        <v>0.7</v>
      </c>
      <c r="C27" s="2" t="s">
        <v>22</v>
      </c>
    </row>
    <row r="28" spans="1:3" x14ac:dyDescent="0.25">
      <c r="A28" s="2" t="s">
        <v>76</v>
      </c>
      <c r="B28" s="2">
        <f>VLOOKUP("eta_motor",solution!$A$1:$C$1000,2,FALSE)</f>
        <v>0.9</v>
      </c>
      <c r="C28" s="2" t="s">
        <v>22</v>
      </c>
    </row>
    <row r="29" spans="1:3" x14ac:dyDescent="0.25">
      <c r="A29" s="2" t="s">
        <v>77</v>
      </c>
      <c r="B29" s="11">
        <f>B26/B28</f>
        <v>44146.666666666664</v>
      </c>
      <c r="C29" s="2" t="s">
        <v>30</v>
      </c>
    </row>
    <row r="30" spans="1:3" x14ac:dyDescent="0.25">
      <c r="A30" s="2" t="s">
        <v>78</v>
      </c>
      <c r="B30" s="11">
        <f>VLOOKUP("NPSH_pp",solution!$A$1:$C$1000,2,FALSE)</f>
        <v>13.77</v>
      </c>
      <c r="C30" s="2" t="s">
        <v>84</v>
      </c>
    </row>
    <row r="31" spans="1:3" x14ac:dyDescent="0.25">
      <c r="A31" s="2" t="s">
        <v>85</v>
      </c>
      <c r="B31" s="11">
        <f>VLOOKUP("H_pp",solution!$A$1:$C$1000,2,FALSE)</f>
        <v>1173</v>
      </c>
      <c r="C31" s="2" t="s">
        <v>84</v>
      </c>
    </row>
    <row r="32" spans="1:3" x14ac:dyDescent="0.25">
      <c r="A32" s="2" t="s">
        <v>86</v>
      </c>
      <c r="B32" s="2">
        <f>B23-B22</f>
        <v>2543171</v>
      </c>
      <c r="C32" s="2" t="s">
        <v>21</v>
      </c>
    </row>
    <row r="35" spans="1:4" x14ac:dyDescent="0.25">
      <c r="A35" s="9" t="s">
        <v>89</v>
      </c>
    </row>
    <row r="36" spans="1:4" x14ac:dyDescent="0.25">
      <c r="A36" s="2" t="s">
        <v>88</v>
      </c>
      <c r="B36" s="2" t="str">
        <f>VLOOKUP("ORCF$",solution!$A$1:$C$1000,2,FALSE)</f>
        <v>'cyclopentane'</v>
      </c>
      <c r="C36" s="2"/>
    </row>
    <row r="37" spans="1:4" x14ac:dyDescent="0.25">
      <c r="A37" s="2" t="s">
        <v>90</v>
      </c>
      <c r="B37" s="2">
        <f>VLOOKUP("P_ev_wf",solution!$A$1:$C$1000,2,FALSE)</f>
        <v>2647000</v>
      </c>
      <c r="C37" s="2" t="s">
        <v>21</v>
      </c>
    </row>
    <row r="38" spans="1:4" x14ac:dyDescent="0.25">
      <c r="A38" s="2" t="s">
        <v>91</v>
      </c>
      <c r="B38" s="2">
        <f>VLOOKUP("P_cd_wf",solution!$A$1:$C$1000,2,FALSE)</f>
        <v>103829</v>
      </c>
      <c r="C38" s="2" t="s">
        <v>21</v>
      </c>
    </row>
    <row r="39" spans="1:4" x14ac:dyDescent="0.25">
      <c r="A39" s="2" t="s">
        <v>92</v>
      </c>
      <c r="B39" s="2">
        <f>VLOOKUP("M_dot_wf",solution!$A$1:$C$1000,2,FALSE)</f>
        <v>7.9429999999999996</v>
      </c>
      <c r="C39" s="2" t="s">
        <v>27</v>
      </c>
    </row>
    <row r="40" spans="1:4" x14ac:dyDescent="0.25">
      <c r="A40" s="2" t="s">
        <v>59</v>
      </c>
      <c r="B40" s="2">
        <f>VLOOKUP("Q_dot_rec",solution!$A$1:$C$1000,2,FALSE)</f>
        <v>559099</v>
      </c>
      <c r="C40" s="2" t="s">
        <v>30</v>
      </c>
    </row>
    <row r="41" spans="1:4" x14ac:dyDescent="0.25">
      <c r="A41" s="2" t="s">
        <v>60</v>
      </c>
      <c r="B41" s="2">
        <f>VLOOKUP("A_hex_rec",solution!$A$1:$C$1000,2,FALSE)</f>
        <v>346.7</v>
      </c>
      <c r="C41" s="2" t="s">
        <v>2</v>
      </c>
      <c r="D41" s="12" t="s">
        <v>93</v>
      </c>
    </row>
    <row r="42" spans="1:4" x14ac:dyDescent="0.25">
      <c r="A42" s="2" t="s">
        <v>94</v>
      </c>
      <c r="B42" s="2">
        <f>VLOOKUP("DELTAp_shell_rec",solution!$A$1:$C$1000,2,FALSE)</f>
        <v>66094</v>
      </c>
      <c r="C42" s="2" t="s">
        <v>21</v>
      </c>
      <c r="D42" s="12" t="s">
        <v>93</v>
      </c>
    </row>
    <row r="43" spans="1:4" x14ac:dyDescent="0.25">
      <c r="A43" s="2" t="s">
        <v>95</v>
      </c>
      <c r="B43" s="2">
        <f>VLOOKUP("DELTAp_tube_rec",solution!$A$1:$C$1000,2,FALSE)</f>
        <v>9401</v>
      </c>
      <c r="C43" s="2" t="s">
        <v>21</v>
      </c>
      <c r="D43" s="12" t="s">
        <v>93</v>
      </c>
    </row>
    <row r="44" spans="1:4" x14ac:dyDescent="0.25">
      <c r="A44" s="2" t="s">
        <v>96</v>
      </c>
      <c r="B44" s="2">
        <f>VLOOKUP("T_out_tur",solution!$A$1:$C$1000,2,FALSE)</f>
        <v>372.8</v>
      </c>
      <c r="C44" s="2" t="s">
        <v>34</v>
      </c>
    </row>
    <row r="45" spans="1:4" x14ac:dyDescent="0.25">
      <c r="A45" s="2" t="s">
        <v>97</v>
      </c>
      <c r="B45" s="2">
        <f>VLOOKUP("T_v_out_rec",solution!$A$1:$C$1000,2,FALSE)</f>
        <v>324.8</v>
      </c>
      <c r="C45" s="2" t="s">
        <v>34</v>
      </c>
    </row>
    <row r="46" spans="1:4" x14ac:dyDescent="0.25">
      <c r="A46" s="6" t="s">
        <v>98</v>
      </c>
      <c r="B46" s="2">
        <f>VLOOKUP("T_out_pp",solution!$A$1:$C$1000,2,FALSE)</f>
        <v>314.8</v>
      </c>
      <c r="C46" s="13" t="s">
        <v>34</v>
      </c>
    </row>
    <row r="47" spans="1:4" x14ac:dyDescent="0.25">
      <c r="A47" s="14" t="s">
        <v>99</v>
      </c>
      <c r="B47" s="15">
        <f>VLOOKUP("T_l_out_rec",solution!$A$1:$C$1000,2,FALSE)</f>
        <v>350.2</v>
      </c>
      <c r="C47" s="13" t="s">
        <v>34</v>
      </c>
    </row>
    <row r="48" spans="1:4" x14ac:dyDescent="0.25">
      <c r="A48" s="6" t="s">
        <v>100</v>
      </c>
      <c r="B48" s="16">
        <f>((B44-B47)-(B45-B46))/LN((B44-B47)/(B45-B46))</f>
        <v>15.453205478966737</v>
      </c>
      <c r="C48" s="6" t="s">
        <v>34</v>
      </c>
    </row>
    <row r="49" spans="1:4" x14ac:dyDescent="0.25">
      <c r="A49" s="6" t="s">
        <v>101</v>
      </c>
      <c r="B49" s="2">
        <f>VLOOKUP("U_f_rec",solution!$A$1:$C$1000,2,FALSE)</f>
        <v>113.6</v>
      </c>
      <c r="C49" s="6" t="s">
        <v>102</v>
      </c>
    </row>
    <row r="50" spans="1:4" x14ac:dyDescent="0.25">
      <c r="A50" s="6" t="s">
        <v>103</v>
      </c>
      <c r="B50" s="2">
        <f>VLOOKUP("N_sp_rec",solution!$A$1:$C$1000,2,FALSE)</f>
        <v>4</v>
      </c>
      <c r="C50" s="6" t="s">
        <v>22</v>
      </c>
    </row>
    <row r="51" spans="1:4" x14ac:dyDescent="0.25">
      <c r="A51" s="6" t="s">
        <v>104</v>
      </c>
      <c r="B51" s="2">
        <f>VLOOKUP("N_tp_rec",solution!$A$1:$C$1000,2,FALSE)</f>
        <v>8</v>
      </c>
      <c r="C51" s="6" t="s">
        <v>22</v>
      </c>
    </row>
    <row r="52" spans="1:4" x14ac:dyDescent="0.25">
      <c r="A52" s="14" t="s">
        <v>105</v>
      </c>
      <c r="B52" s="15">
        <f>VLOOKUP("OD_rec",solution!$A$1:$C$1000,2,FALSE)</f>
        <v>1.9050000000000001E-2</v>
      </c>
      <c r="C52" s="13" t="s">
        <v>26</v>
      </c>
    </row>
    <row r="53" spans="1:4" x14ac:dyDescent="0.25">
      <c r="A53" s="6" t="s">
        <v>106</v>
      </c>
      <c r="B53" s="2">
        <f>VLOOKUP("ID_rec",solution!$A$1:$C$1000,2,FALSE)</f>
        <v>1.575E-2</v>
      </c>
      <c r="C53" s="6" t="s">
        <v>26</v>
      </c>
    </row>
    <row r="54" spans="1:4" x14ac:dyDescent="0.25">
      <c r="A54" s="6" t="s">
        <v>107</v>
      </c>
      <c r="B54" s="2">
        <f>VLOOKUP("L_hex_rec",solution!$A$1:$C$1000,2,FALSE)</f>
        <v>6.0960000000000001</v>
      </c>
      <c r="C54" s="2" t="s">
        <v>26</v>
      </c>
      <c r="D54" s="12" t="s">
        <v>93</v>
      </c>
    </row>
    <row r="57" spans="1:4" x14ac:dyDescent="0.25">
      <c r="A57" s="3" t="s">
        <v>352</v>
      </c>
      <c r="B57" s="2"/>
      <c r="C57" s="2"/>
    </row>
    <row r="58" spans="1:4" x14ac:dyDescent="0.25">
      <c r="A58" s="2" t="s">
        <v>353</v>
      </c>
      <c r="B58" s="2">
        <f>VLOOKUP("T_in_tur",solution!$A$1:$C$1000,2,FALSE)</f>
        <v>473.2</v>
      </c>
      <c r="C58" s="2" t="s">
        <v>34</v>
      </c>
    </row>
    <row r="59" spans="1:4" x14ac:dyDescent="0.25">
      <c r="A59" s="2" t="s">
        <v>354</v>
      </c>
      <c r="B59" s="2">
        <f>VLOOKUP("P_ev_wf",solution!$A$1:$C$1000,2,FALSE)</f>
        <v>2647000</v>
      </c>
      <c r="C59" s="2" t="s">
        <v>21</v>
      </c>
    </row>
    <row r="60" spans="1:4" x14ac:dyDescent="0.25">
      <c r="A60" s="2" t="s">
        <v>355</v>
      </c>
      <c r="B60" s="2">
        <f>VLOOKUP("M_dot_wf",solution!$A$1:$C$1000,2,FALSE)</f>
        <v>7.9429999999999996</v>
      </c>
      <c r="C60" s="2" t="s">
        <v>27</v>
      </c>
    </row>
    <row r="61" spans="1:4" x14ac:dyDescent="0.25">
      <c r="A61" s="2" t="s">
        <v>356</v>
      </c>
      <c r="B61" s="2">
        <f>VLOOKUP("Stage_N#",solution!$A$1:$C$1000,2,FALSE)</f>
        <v>1</v>
      </c>
      <c r="C61" s="2" t="s">
        <v>22</v>
      </c>
    </row>
    <row r="62" spans="1:4" x14ac:dyDescent="0.25">
      <c r="A62" s="2" t="s">
        <v>357</v>
      </c>
      <c r="B62" s="2">
        <f>VLOOKUP("W_dot_tur",solution!$A$1:$C$1000,2,FALSE)</f>
        <v>871761</v>
      </c>
      <c r="C62" s="2" t="s">
        <v>30</v>
      </c>
    </row>
    <row r="63" spans="1:4" x14ac:dyDescent="0.25">
      <c r="A63" s="2" t="s">
        <v>358</v>
      </c>
      <c r="B63" s="2">
        <f>VLOOKUP("eta_tur",solution!$A$1:$C$1000,2,FALSE)</f>
        <v>0.80840000000000001</v>
      </c>
      <c r="C63" s="2" t="s">
        <v>22</v>
      </c>
    </row>
    <row r="64" spans="1:4" x14ac:dyDescent="0.25">
      <c r="A64" s="2" t="s">
        <v>360</v>
      </c>
      <c r="B64" s="2">
        <f>VLOOKUP("eta_gen",solution!$A$1:$C$1000,2,FALSE)</f>
        <v>0.9</v>
      </c>
      <c r="C64" s="2"/>
    </row>
    <row r="65" spans="1:3" x14ac:dyDescent="0.25">
      <c r="A65" s="2" t="s">
        <v>359</v>
      </c>
      <c r="B65" s="2">
        <f>VLOOKUP("W_dot_tur",solution!$A$1:$C$1000,2,FALSE)*B64</f>
        <v>784584.9</v>
      </c>
      <c r="C65" s="2" t="s">
        <v>30</v>
      </c>
    </row>
    <row r="66" spans="1:3" x14ac:dyDescent="0.25">
      <c r="A66" s="6" t="s">
        <v>361</v>
      </c>
      <c r="B66" s="2">
        <f>VLOOKUP("RPM_tur",solution!$A$1:$C$1000,2,FALSE)</f>
        <v>24583</v>
      </c>
      <c r="C66" s="6" t="s">
        <v>362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3"/>
  <sheetViews>
    <sheetView tabSelected="1" topLeftCell="A7" zoomScaleNormal="100" workbookViewId="0">
      <selection activeCell="B19" sqref="B19"/>
    </sheetView>
  </sheetViews>
  <sheetFormatPr defaultRowHeight="15" x14ac:dyDescent="0.25"/>
  <cols>
    <col min="1" max="1" width="26.28515625" bestFit="1" customWidth="1"/>
    <col min="2" max="2" width="17.5703125" bestFit="1" customWidth="1"/>
    <col min="6" max="6" width="14.7109375" bestFit="1" customWidth="1"/>
    <col min="7" max="7" width="10.7109375" bestFit="1" customWidth="1"/>
  </cols>
  <sheetData>
    <row r="1" spans="1:7" s="4" customFormat="1" x14ac:dyDescent="0.25">
      <c r="A1" s="17" t="s">
        <v>36</v>
      </c>
      <c r="B1" s="17"/>
      <c r="C1" s="17"/>
      <c r="F1" s="21" t="s">
        <v>44</v>
      </c>
      <c r="G1" s="21"/>
    </row>
    <row r="2" spans="1:7" s="5" customFormat="1" x14ac:dyDescent="0.25">
      <c r="A2" s="18" t="s">
        <v>39</v>
      </c>
      <c r="B2" s="19"/>
      <c r="C2" s="20"/>
      <c r="F2" s="2" t="s">
        <v>45</v>
      </c>
      <c r="G2" s="2" t="s">
        <v>43</v>
      </c>
    </row>
    <row r="3" spans="1:7" x14ac:dyDescent="0.25">
      <c r="A3" s="3" t="s">
        <v>37</v>
      </c>
      <c r="B3" s="3" t="s">
        <v>38</v>
      </c>
      <c r="C3" s="3" t="s">
        <v>42</v>
      </c>
      <c r="F3" s="2">
        <v>0.88678999999999997</v>
      </c>
      <c r="G3" s="2" t="s">
        <v>46</v>
      </c>
    </row>
    <row r="4" spans="1:7" x14ac:dyDescent="0.25">
      <c r="A4" s="2" t="s">
        <v>4</v>
      </c>
      <c r="B4" s="2">
        <f>VLOOKUP("Cost_bm_cond",solution!A1:$C$1000,2,FALSE)</f>
        <v>162566</v>
      </c>
      <c r="C4" s="2">
        <f>B4*$F$3</f>
        <v>144161.90313999998</v>
      </c>
    </row>
    <row r="5" spans="1:7" x14ac:dyDescent="0.25">
      <c r="A5" s="2" t="s">
        <v>5</v>
      </c>
      <c r="B5" s="2">
        <f>VLOOKUP("Cost_bm_Ctower",solution!A2:$C$1000,2,FALSE)</f>
        <v>37370</v>
      </c>
      <c r="C5" s="2">
        <f t="shared" ref="C5:C12" si="0">B5*$F$3</f>
        <v>33139.342299999997</v>
      </c>
    </row>
    <row r="6" spans="1:7" x14ac:dyDescent="0.25">
      <c r="A6" s="2" t="s">
        <v>6</v>
      </c>
      <c r="B6" s="2">
        <f>VLOOKUP("Cost_bm_hphex",solution!A3:$C$1000,2,FALSE)</f>
        <v>234355</v>
      </c>
      <c r="C6" s="2">
        <f t="shared" si="0"/>
        <v>207823.67045000001</v>
      </c>
    </row>
    <row r="7" spans="1:7" x14ac:dyDescent="0.25">
      <c r="A7" s="2" t="s">
        <v>7</v>
      </c>
      <c r="B7" s="2">
        <f>VLOOKUP("Cost_bm_pp",solution!A4:$C$1000,2,FALSE)</f>
        <v>53945</v>
      </c>
      <c r="C7" s="2">
        <f t="shared" si="0"/>
        <v>47837.886549999996</v>
      </c>
    </row>
    <row r="8" spans="1:7" x14ac:dyDescent="0.25">
      <c r="A8" s="2" t="s">
        <v>8</v>
      </c>
      <c r="B8" s="2">
        <f>VLOOKUP("Cost_bm_rec",solution!A5:$C$1000,2,FALSE)</f>
        <v>205550</v>
      </c>
      <c r="C8" s="2">
        <f t="shared" si="0"/>
        <v>182279.6845</v>
      </c>
    </row>
    <row r="9" spans="1:7" x14ac:dyDescent="0.25">
      <c r="A9" s="2" t="s">
        <v>9</v>
      </c>
      <c r="B9" s="8">
        <f>VLOOKUP("Cost_bm_tur",solution!A6:$C$1000,2,FALSE)</f>
        <v>1294000</v>
      </c>
      <c r="C9" s="2">
        <f t="shared" si="0"/>
        <v>1147506.26</v>
      </c>
    </row>
    <row r="10" spans="1:7" x14ac:dyDescent="0.25">
      <c r="A10" s="6" t="s">
        <v>11</v>
      </c>
      <c r="B10" s="2">
        <f>VLOOKUP("Cost_gen",solution!A7:$C$1000,2,FALSE)</f>
        <v>62056</v>
      </c>
      <c r="C10" s="2">
        <f t="shared" si="0"/>
        <v>55030.640240000001</v>
      </c>
    </row>
    <row r="11" spans="1:7" x14ac:dyDescent="0.25">
      <c r="A11" s="6" t="s">
        <v>10</v>
      </c>
      <c r="B11" s="2">
        <f>VLOOKUP("Cost_gearbox",solution!A8:$C$1000,2,FALSE)</f>
        <v>24823</v>
      </c>
      <c r="C11" s="2">
        <f t="shared" si="0"/>
        <v>22012.78817</v>
      </c>
    </row>
    <row r="12" spans="1:7" x14ac:dyDescent="0.25">
      <c r="A12" s="6" t="s">
        <v>40</v>
      </c>
      <c r="B12" s="7">
        <f>SUM(B4:B11)</f>
        <v>2074665</v>
      </c>
      <c r="C12" s="2">
        <f t="shared" si="0"/>
        <v>1839792.1753499999</v>
      </c>
    </row>
    <row r="13" spans="1:7" x14ac:dyDescent="0.25">
      <c r="A13" s="23"/>
      <c r="B13" s="5"/>
      <c r="C13" s="5"/>
    </row>
    <row r="14" spans="1:7" x14ac:dyDescent="0.25">
      <c r="A14" s="23"/>
      <c r="B14" s="5"/>
      <c r="C14" s="5"/>
    </row>
    <row r="15" spans="1:7" x14ac:dyDescent="0.25">
      <c r="A15" s="18" t="s">
        <v>364</v>
      </c>
      <c r="B15" s="19"/>
      <c r="C15" s="20"/>
    </row>
    <row r="16" spans="1:7" x14ac:dyDescent="0.25">
      <c r="A16" s="3" t="s">
        <v>37</v>
      </c>
      <c r="B16" s="3" t="s">
        <v>38</v>
      </c>
      <c r="C16" s="3" t="s">
        <v>42</v>
      </c>
    </row>
    <row r="17" spans="1:3" x14ac:dyDescent="0.25">
      <c r="A17" s="2" t="s">
        <v>143</v>
      </c>
      <c r="B17" s="2">
        <f>VLOOKUP("Cost_p_cond",solution!A14:$C$1000,2,FALSE)</f>
        <v>51598</v>
      </c>
      <c r="C17" s="2">
        <f>B17*$F$3</f>
        <v>45756.59042</v>
      </c>
    </row>
    <row r="18" spans="1:3" x14ac:dyDescent="0.25">
      <c r="A18" s="2" t="s">
        <v>5</v>
      </c>
      <c r="B18" s="2">
        <f>VLOOKUP("Cost_bm_Ctower",solution!A15:$C$1000,2,FALSE)</f>
        <v>37370</v>
      </c>
      <c r="C18" s="2">
        <f t="shared" ref="C18:C25" si="1">B18*$F$3</f>
        <v>33139.342299999997</v>
      </c>
    </row>
    <row r="19" spans="1:3" x14ac:dyDescent="0.25">
      <c r="A19" s="2" t="s">
        <v>6</v>
      </c>
      <c r="B19" s="2">
        <f>VLOOKUP("Cost_bm_hphex",solution!A16:$C$1000,2,FALSE)</f>
        <v>234355</v>
      </c>
      <c r="C19" s="2">
        <f t="shared" si="1"/>
        <v>207823.67045000001</v>
      </c>
    </row>
    <row r="20" spans="1:3" x14ac:dyDescent="0.25">
      <c r="A20" s="2" t="s">
        <v>144</v>
      </c>
      <c r="B20" s="2">
        <f>VLOOKUP("Cost_p_pp",solution!A17:$C$1000,2,FALSE)</f>
        <v>24857</v>
      </c>
      <c r="C20" s="2">
        <f t="shared" si="1"/>
        <v>22042.939029999998</v>
      </c>
    </row>
    <row r="21" spans="1:3" x14ac:dyDescent="0.25">
      <c r="A21" s="2" t="s">
        <v>145</v>
      </c>
      <c r="B21" s="2">
        <f>VLOOKUP("Cost_p_rec",solution!A18:$C$1000,2,FALSE)</f>
        <v>65474</v>
      </c>
      <c r="C21" s="2">
        <f t="shared" si="1"/>
        <v>58061.688459999998</v>
      </c>
    </row>
    <row r="22" spans="1:3" x14ac:dyDescent="0.25">
      <c r="A22" s="2" t="s">
        <v>146</v>
      </c>
      <c r="B22" s="8">
        <f>VLOOKUP("Cost_p_tur",solution!A19:$C$1000,2,FALSE)</f>
        <v>369724</v>
      </c>
      <c r="C22" s="2">
        <f t="shared" si="1"/>
        <v>327867.54595999996</v>
      </c>
    </row>
    <row r="23" spans="1:3" x14ac:dyDescent="0.25">
      <c r="A23" s="6" t="s">
        <v>11</v>
      </c>
      <c r="B23" s="2">
        <f>VLOOKUP("Cost_gen",solution!A20:$C$1000,2,FALSE)</f>
        <v>62056</v>
      </c>
      <c r="C23" s="2">
        <f t="shared" si="1"/>
        <v>55030.640240000001</v>
      </c>
    </row>
    <row r="24" spans="1:3" x14ac:dyDescent="0.25">
      <c r="A24" s="6" t="s">
        <v>10</v>
      </c>
      <c r="B24" s="2">
        <f>VLOOKUP("Cost_gearbox",solution!A21:$C$1000,2,FALSE)</f>
        <v>24823</v>
      </c>
      <c r="C24" s="2">
        <f t="shared" si="1"/>
        <v>22012.78817</v>
      </c>
    </row>
    <row r="25" spans="1:3" x14ac:dyDescent="0.25">
      <c r="A25" s="6" t="s">
        <v>40</v>
      </c>
      <c r="B25" s="7">
        <f>SUM(B17:B24)</f>
        <v>870257</v>
      </c>
      <c r="C25" s="2">
        <f t="shared" si="1"/>
        <v>771735.20502999995</v>
      </c>
    </row>
    <row r="26" spans="1:3" x14ac:dyDescent="0.25">
      <c r="A26" s="23"/>
      <c r="B26" s="5"/>
      <c r="C26" s="5"/>
    </row>
    <row r="27" spans="1:3" x14ac:dyDescent="0.25">
      <c r="A27" s="23"/>
      <c r="B27" s="5"/>
      <c r="C27" s="5"/>
    </row>
    <row r="28" spans="1:3" x14ac:dyDescent="0.25">
      <c r="A28" s="23"/>
      <c r="B28" s="5"/>
      <c r="C28" s="5"/>
    </row>
    <row r="29" spans="1:3" x14ac:dyDescent="0.25">
      <c r="A29" s="23"/>
      <c r="B29" s="5"/>
      <c r="C29" s="5"/>
    </row>
    <row r="30" spans="1:3" x14ac:dyDescent="0.25">
      <c r="A30" s="23"/>
      <c r="B30" s="5"/>
      <c r="C30" s="5"/>
    </row>
    <row r="31" spans="1:3" x14ac:dyDescent="0.25">
      <c r="A31" s="23"/>
      <c r="B31" s="5"/>
      <c r="C31" s="5"/>
    </row>
    <row r="32" spans="1:3" x14ac:dyDescent="0.25">
      <c r="A32" s="23"/>
      <c r="B32" s="5"/>
      <c r="C32" s="5"/>
    </row>
    <row r="33" spans="1:3" x14ac:dyDescent="0.25">
      <c r="A33" s="23"/>
      <c r="B33" s="5"/>
      <c r="C33" s="5"/>
    </row>
    <row r="34" spans="1:3" x14ac:dyDescent="0.25">
      <c r="A34" s="23"/>
      <c r="B34" s="5"/>
      <c r="C34" s="5"/>
    </row>
    <row r="35" spans="1:3" x14ac:dyDescent="0.25">
      <c r="A35" s="23"/>
      <c r="B35" s="5"/>
      <c r="C35" s="5"/>
    </row>
    <row r="37" spans="1:3" x14ac:dyDescent="0.25">
      <c r="A37" s="21" t="s">
        <v>41</v>
      </c>
      <c r="B37" s="21"/>
      <c r="C37" s="21"/>
    </row>
    <row r="38" spans="1:3" x14ac:dyDescent="0.25">
      <c r="A38" s="2" t="s">
        <v>37</v>
      </c>
      <c r="B38" s="3" t="s">
        <v>38</v>
      </c>
      <c r="C38" s="3" t="s">
        <v>42</v>
      </c>
    </row>
    <row r="39" spans="1:3" x14ac:dyDescent="0.25">
      <c r="A39" s="6" t="s">
        <v>12</v>
      </c>
      <c r="B39" s="7">
        <f>VLOOKUP("Cost_tbm",solution!A8:$C$1000,2,FALSE)</f>
        <v>2075000</v>
      </c>
      <c r="C39" s="2">
        <f>B39*$F$3</f>
        <v>1840089.25</v>
      </c>
    </row>
    <row r="40" spans="1:3" x14ac:dyDescent="0.25">
      <c r="A40" s="2" t="s">
        <v>17</v>
      </c>
      <c r="B40" s="2">
        <f>VLOOKUP("C_site",solution!A1:$C$1000,2,FALSE)</f>
        <v>103735</v>
      </c>
      <c r="C40" s="2">
        <f t="shared" ref="C40:C50" si="2">B40*$F$3</f>
        <v>91991.160649999991</v>
      </c>
    </row>
    <row r="41" spans="1:3" x14ac:dyDescent="0.25">
      <c r="A41" s="2" t="s">
        <v>16</v>
      </c>
      <c r="B41" s="2">
        <f>VLOOKUP("C_serv",solution!A2:$C$1000,2,FALSE)</f>
        <v>103735</v>
      </c>
      <c r="C41" s="2">
        <f t="shared" si="2"/>
        <v>91991.160649999991</v>
      </c>
    </row>
    <row r="42" spans="1:3" x14ac:dyDescent="0.25">
      <c r="A42" s="2" t="s">
        <v>13</v>
      </c>
      <c r="B42" s="2">
        <f>VLOOKUP("C_alloc",solution!A3:$C$1000,2,FALSE)</f>
        <v>0</v>
      </c>
      <c r="C42" s="2">
        <f t="shared" si="2"/>
        <v>0</v>
      </c>
    </row>
    <row r="43" spans="1:3" x14ac:dyDescent="0.25">
      <c r="A43" s="2" t="s">
        <v>15</v>
      </c>
      <c r="B43" s="2">
        <f>VLOOKUP("C_DPI",solution!A4:$C$1000,2,FALSE)</f>
        <v>2282000</v>
      </c>
      <c r="C43" s="2">
        <f t="shared" si="2"/>
        <v>2023654.78</v>
      </c>
    </row>
    <row r="44" spans="1:3" x14ac:dyDescent="0.25">
      <c r="A44" s="6" t="s">
        <v>14</v>
      </c>
      <c r="B44" s="2">
        <f>VLOOKUP("C_cont",solution!A5:$C$1000,2,FALSE)</f>
        <v>410791</v>
      </c>
      <c r="C44" s="2">
        <f t="shared" si="2"/>
        <v>364285.35089</v>
      </c>
    </row>
    <row r="45" spans="1:3" x14ac:dyDescent="0.25">
      <c r="A45" s="6" t="s">
        <v>19</v>
      </c>
      <c r="B45" s="2">
        <f>VLOOKUP("C_TDC",solution!A6:$C$1000,2,FALSE)</f>
        <v>2693000</v>
      </c>
      <c r="C45" s="2">
        <f t="shared" si="2"/>
        <v>2388125.4699999997</v>
      </c>
    </row>
    <row r="46" spans="1:3" x14ac:dyDescent="0.25">
      <c r="A46" s="6" t="s">
        <v>47</v>
      </c>
      <c r="B46" s="2">
        <v>0</v>
      </c>
      <c r="C46" s="2">
        <f t="shared" si="2"/>
        <v>0</v>
      </c>
    </row>
    <row r="47" spans="1:3" x14ac:dyDescent="0.25">
      <c r="A47" s="6" t="s">
        <v>48</v>
      </c>
      <c r="B47" s="2">
        <v>0</v>
      </c>
      <c r="C47" s="2">
        <f t="shared" si="2"/>
        <v>0</v>
      </c>
    </row>
    <row r="48" spans="1:3" x14ac:dyDescent="0.25">
      <c r="A48" s="6" t="s">
        <v>20</v>
      </c>
      <c r="B48" s="2">
        <f>VLOOKUP("C_TPI",solution!A7:$C$1000,2,FALSE)</f>
        <v>2962000</v>
      </c>
      <c r="C48" s="2">
        <f t="shared" si="2"/>
        <v>2626671.98</v>
      </c>
    </row>
    <row r="49" spans="1:3" x14ac:dyDescent="0.25">
      <c r="A49" s="6" t="s">
        <v>18</v>
      </c>
      <c r="B49" s="2">
        <f>VLOOKUP("C_TCI",solution!A8:$C$1000,2,FALSE)</f>
        <v>2962000</v>
      </c>
      <c r="C49" s="2">
        <f t="shared" si="2"/>
        <v>2626671.98</v>
      </c>
    </row>
    <row r="50" spans="1:3" x14ac:dyDescent="0.25">
      <c r="A50" s="6" t="s">
        <v>33</v>
      </c>
      <c r="B50" s="2">
        <f>VLOOKUP("SIC",solution!A9:$C$1000,2,FALSE)</f>
        <v>4131</v>
      </c>
      <c r="C50" s="2">
        <f t="shared" si="2"/>
        <v>3663.3294900000001</v>
      </c>
    </row>
    <row r="55" spans="1:3" x14ac:dyDescent="0.25">
      <c r="A55" s="22" t="s">
        <v>28</v>
      </c>
      <c r="B55" s="22"/>
      <c r="C55" s="22"/>
    </row>
    <row r="56" spans="1:3" x14ac:dyDescent="0.25">
      <c r="A56" s="2" t="s">
        <v>37</v>
      </c>
      <c r="B56" s="2" t="s">
        <v>38</v>
      </c>
      <c r="C56" s="2" t="s">
        <v>42</v>
      </c>
    </row>
    <row r="57" spans="1:3" x14ac:dyDescent="0.25">
      <c r="A57" s="2" t="s">
        <v>54</v>
      </c>
      <c r="B57" s="2">
        <f>VLOOKUP("C_UT",solution!A7:$C$1000,2,FALSE)</f>
        <v>733.2</v>
      </c>
      <c r="C57" s="2">
        <f>B57*$F$3</f>
        <v>650.19442800000002</v>
      </c>
    </row>
    <row r="58" spans="1:3" x14ac:dyDescent="0.25">
      <c r="A58" s="2" t="s">
        <v>52</v>
      </c>
      <c r="B58" s="2">
        <f>VLOOKUP("C_MWB",solution!A8:$C$1000,2,FALSE)</f>
        <v>94254</v>
      </c>
      <c r="C58" s="2">
        <f t="shared" ref="C58:C63" si="3">B58*$F$3</f>
        <v>83583.504659999991</v>
      </c>
    </row>
    <row r="59" spans="1:3" x14ac:dyDescent="0.25">
      <c r="A59" s="2" t="s">
        <v>51</v>
      </c>
      <c r="B59" s="2">
        <f>VLOOKUP("C_MS",solution!A9:$C$1000,2,FALSE)</f>
        <v>94254</v>
      </c>
      <c r="C59" s="2">
        <f t="shared" si="3"/>
        <v>83583.504659999991</v>
      </c>
    </row>
    <row r="60" spans="1:3" x14ac:dyDescent="0.25">
      <c r="A60" s="2" t="s">
        <v>50</v>
      </c>
      <c r="B60" s="2">
        <f>VLOOKUP("C_MO",solution!A10:$C$1000,2,FALSE)</f>
        <v>4713</v>
      </c>
      <c r="C60" s="2">
        <f t="shared" si="3"/>
        <v>4179.4412700000003</v>
      </c>
    </row>
    <row r="61" spans="1:3" x14ac:dyDescent="0.25">
      <c r="A61" s="2" t="s">
        <v>53</v>
      </c>
      <c r="B61" s="2">
        <f>VLOOKUP("C_SB",solution!A11:$C$1000,2,FALSE)</f>
        <v>23563</v>
      </c>
      <c r="C61" s="2">
        <f t="shared" si="3"/>
        <v>20895.432769999999</v>
      </c>
    </row>
    <row r="62" spans="1:3" x14ac:dyDescent="0.25">
      <c r="A62" s="2" t="s">
        <v>49</v>
      </c>
      <c r="B62" s="2">
        <f>VLOOKUP("C_DMC",solution!A12:$C$1000,2,FALSE)</f>
        <v>217517</v>
      </c>
      <c r="C62" s="2">
        <f t="shared" si="3"/>
        <v>192891.90042999998</v>
      </c>
    </row>
    <row r="63" spans="1:3" x14ac:dyDescent="0.25">
      <c r="A63" s="2" t="s">
        <v>28</v>
      </c>
      <c r="B63" s="2">
        <f>VLOOKUP("OPEX",solution!A13:$C$1000,2,FALSE)</f>
        <v>148113</v>
      </c>
      <c r="C63" s="2">
        <f t="shared" si="3"/>
        <v>131345.12727</v>
      </c>
    </row>
  </sheetData>
  <mergeCells count="6">
    <mergeCell ref="A1:C1"/>
    <mergeCell ref="A2:C2"/>
    <mergeCell ref="F1:G1"/>
    <mergeCell ref="A37:C37"/>
    <mergeCell ref="A55:C55"/>
    <mergeCell ref="A15:C15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workbookViewId="0">
      <selection sqref="A1:C266"/>
    </sheetView>
  </sheetViews>
  <sheetFormatPr defaultRowHeight="15" x14ac:dyDescent="0.25"/>
  <cols>
    <col min="1" max="1" width="18.42578125" bestFit="1" customWidth="1"/>
  </cols>
  <sheetData>
    <row r="1" spans="1:3" x14ac:dyDescent="0.25">
      <c r="A1" t="s">
        <v>112</v>
      </c>
      <c r="B1" t="s">
        <v>0</v>
      </c>
      <c r="C1" t="s">
        <v>1</v>
      </c>
    </row>
    <row r="2" spans="1:3" x14ac:dyDescent="0.25">
      <c r="A2" t="s">
        <v>113</v>
      </c>
      <c r="B2">
        <v>0</v>
      </c>
    </row>
    <row r="3" spans="1:3" x14ac:dyDescent="0.25">
      <c r="A3" t="s">
        <v>114</v>
      </c>
      <c r="B3">
        <v>12.96</v>
      </c>
    </row>
    <row r="4" spans="1:3" x14ac:dyDescent="0.25">
      <c r="A4" t="s">
        <v>115</v>
      </c>
      <c r="B4">
        <v>13.14</v>
      </c>
    </row>
    <row r="5" spans="1:3" x14ac:dyDescent="0.25">
      <c r="A5" t="s">
        <v>116</v>
      </c>
      <c r="B5">
        <v>217.4</v>
      </c>
    </row>
    <row r="6" spans="1:3" x14ac:dyDescent="0.25">
      <c r="A6" t="s">
        <v>117</v>
      </c>
      <c r="B6">
        <v>346.7</v>
      </c>
      <c r="C6" t="s">
        <v>2</v>
      </c>
    </row>
    <row r="7" spans="1:3" x14ac:dyDescent="0.25">
      <c r="A7" t="s">
        <v>118</v>
      </c>
      <c r="B7">
        <v>1.9479999999999999E-4</v>
      </c>
    </row>
    <row r="8" spans="1:3" x14ac:dyDescent="0.25">
      <c r="A8" t="s">
        <v>119</v>
      </c>
      <c r="B8">
        <v>1.9479999999999999E-4</v>
      </c>
    </row>
    <row r="9" spans="1:3" x14ac:dyDescent="0.25">
      <c r="A9" t="s">
        <v>120</v>
      </c>
      <c r="B9">
        <v>423.9</v>
      </c>
    </row>
    <row r="10" spans="1:3" x14ac:dyDescent="0.25">
      <c r="A10" t="s">
        <v>121</v>
      </c>
      <c r="B10" s="1">
        <v>60</v>
      </c>
    </row>
    <row r="11" spans="1:3" x14ac:dyDescent="0.25">
      <c r="A11" t="s">
        <v>122</v>
      </c>
      <c r="B11">
        <v>25</v>
      </c>
    </row>
    <row r="12" spans="1:3" x14ac:dyDescent="0.25">
      <c r="A12" t="s">
        <v>123</v>
      </c>
      <c r="B12">
        <v>3.0000000000000001E-3</v>
      </c>
      <c r="C12" t="s">
        <v>26</v>
      </c>
    </row>
    <row r="13" spans="1:3" x14ac:dyDescent="0.25">
      <c r="A13" t="s">
        <v>124</v>
      </c>
      <c r="B13" s="1">
        <v>3259000</v>
      </c>
    </row>
    <row r="14" spans="1:3" x14ac:dyDescent="0.25">
      <c r="A14" t="s">
        <v>125</v>
      </c>
      <c r="B14">
        <v>580.1</v>
      </c>
    </row>
    <row r="15" spans="1:3" x14ac:dyDescent="0.25">
      <c r="A15" t="s">
        <v>126</v>
      </c>
      <c r="B15">
        <v>95000</v>
      </c>
    </row>
    <row r="16" spans="1:3" x14ac:dyDescent="0.25">
      <c r="A16" t="s">
        <v>127</v>
      </c>
      <c r="B16" s="1">
        <v>386900000</v>
      </c>
    </row>
    <row r="17" spans="1:2" x14ac:dyDescent="0.25">
      <c r="A17" t="s">
        <v>128</v>
      </c>
      <c r="B17">
        <v>3</v>
      </c>
    </row>
    <row r="18" spans="1:2" x14ac:dyDescent="0.25">
      <c r="A18" t="s">
        <v>129</v>
      </c>
      <c r="B18" t="s">
        <v>3</v>
      </c>
    </row>
    <row r="19" spans="1:2" x14ac:dyDescent="0.25">
      <c r="A19" t="s">
        <v>130</v>
      </c>
      <c r="B19" s="1">
        <v>155244</v>
      </c>
    </row>
    <row r="20" spans="1:2" x14ac:dyDescent="0.25">
      <c r="A20" t="s">
        <v>131</v>
      </c>
      <c r="B20">
        <v>34953</v>
      </c>
    </row>
    <row r="21" spans="1:2" x14ac:dyDescent="0.25">
      <c r="A21" t="s">
        <v>132</v>
      </c>
      <c r="B21">
        <v>195511</v>
      </c>
    </row>
    <row r="22" spans="1:2" x14ac:dyDescent="0.25">
      <c r="A22" t="s">
        <v>133</v>
      </c>
      <c r="B22" s="1">
        <v>1294000</v>
      </c>
    </row>
    <row r="23" spans="1:2" x14ac:dyDescent="0.25">
      <c r="A23" t="s">
        <v>4</v>
      </c>
      <c r="B23">
        <v>162566</v>
      </c>
    </row>
    <row r="24" spans="1:2" x14ac:dyDescent="0.25">
      <c r="A24" t="s">
        <v>5</v>
      </c>
      <c r="B24">
        <v>37370</v>
      </c>
    </row>
    <row r="25" spans="1:2" x14ac:dyDescent="0.25">
      <c r="A25" t="s">
        <v>6</v>
      </c>
      <c r="B25" s="1">
        <v>234355</v>
      </c>
    </row>
    <row r="26" spans="1:2" x14ac:dyDescent="0.25">
      <c r="A26" t="s">
        <v>7</v>
      </c>
      <c r="B26">
        <v>53945</v>
      </c>
    </row>
    <row r="27" spans="1:2" x14ac:dyDescent="0.25">
      <c r="A27" t="s">
        <v>8</v>
      </c>
      <c r="B27">
        <v>205550</v>
      </c>
    </row>
    <row r="28" spans="1:2" x14ac:dyDescent="0.25">
      <c r="A28" t="s">
        <v>9</v>
      </c>
      <c r="B28" s="1">
        <v>1294000</v>
      </c>
    </row>
    <row r="29" spans="1:2" x14ac:dyDescent="0.25">
      <c r="A29" t="s">
        <v>134</v>
      </c>
      <c r="B29">
        <v>37370</v>
      </c>
    </row>
    <row r="30" spans="1:2" x14ac:dyDescent="0.25">
      <c r="A30" t="s">
        <v>135</v>
      </c>
      <c r="B30">
        <v>215437</v>
      </c>
    </row>
    <row r="31" spans="1:2" x14ac:dyDescent="0.25">
      <c r="A31" t="s">
        <v>10</v>
      </c>
      <c r="B31">
        <v>24823</v>
      </c>
    </row>
    <row r="32" spans="1:2" x14ac:dyDescent="0.25">
      <c r="A32" t="s">
        <v>11</v>
      </c>
      <c r="B32">
        <v>62056</v>
      </c>
    </row>
    <row r="33" spans="1:2" x14ac:dyDescent="0.25">
      <c r="A33" t="s">
        <v>136</v>
      </c>
      <c r="B33">
        <v>37285</v>
      </c>
    </row>
    <row r="34" spans="1:2" x14ac:dyDescent="0.25">
      <c r="A34" t="s">
        <v>137</v>
      </c>
      <c r="B34">
        <v>85702</v>
      </c>
    </row>
    <row r="35" spans="1:2" x14ac:dyDescent="0.25">
      <c r="A35" t="s">
        <v>138</v>
      </c>
      <c r="B35">
        <v>47187</v>
      </c>
    </row>
    <row r="36" spans="1:2" x14ac:dyDescent="0.25">
      <c r="A36" t="s">
        <v>139</v>
      </c>
      <c r="B36">
        <v>10788</v>
      </c>
    </row>
    <row r="37" spans="1:2" x14ac:dyDescent="0.25">
      <c r="A37" t="s">
        <v>140</v>
      </c>
      <c r="B37">
        <v>59426</v>
      </c>
    </row>
    <row r="38" spans="1:2" x14ac:dyDescent="0.25">
      <c r="A38" t="s">
        <v>141</v>
      </c>
      <c r="B38">
        <v>369724</v>
      </c>
    </row>
    <row r="39" spans="1:2" x14ac:dyDescent="0.25">
      <c r="A39" t="s">
        <v>142</v>
      </c>
      <c r="B39">
        <v>4741</v>
      </c>
    </row>
    <row r="40" spans="1:2" x14ac:dyDescent="0.25">
      <c r="A40" t="s">
        <v>143</v>
      </c>
      <c r="B40">
        <v>51598</v>
      </c>
    </row>
    <row r="41" spans="1:2" x14ac:dyDescent="0.25">
      <c r="A41" t="s">
        <v>144</v>
      </c>
      <c r="B41" s="1">
        <v>24857</v>
      </c>
    </row>
    <row r="42" spans="1:2" x14ac:dyDescent="0.25">
      <c r="A42" t="s">
        <v>145</v>
      </c>
      <c r="B42" s="1">
        <v>65474</v>
      </c>
    </row>
    <row r="43" spans="1:2" x14ac:dyDescent="0.25">
      <c r="A43" t="s">
        <v>363</v>
      </c>
      <c r="B43" s="1">
        <v>5500000</v>
      </c>
    </row>
    <row r="44" spans="1:2" x14ac:dyDescent="0.25">
      <c r="A44" t="s">
        <v>146</v>
      </c>
      <c r="B44" s="1">
        <v>369724</v>
      </c>
    </row>
    <row r="45" spans="1:2" x14ac:dyDescent="0.25">
      <c r="A45" t="s">
        <v>147</v>
      </c>
      <c r="B45" s="1">
        <v>332100000</v>
      </c>
    </row>
    <row r="46" spans="1:2" x14ac:dyDescent="0.25">
      <c r="A46" t="s">
        <v>12</v>
      </c>
      <c r="B46" s="1">
        <v>2075000</v>
      </c>
    </row>
    <row r="47" spans="1:2" x14ac:dyDescent="0.25">
      <c r="A47" t="s">
        <v>148</v>
      </c>
      <c r="B47" s="1">
        <v>1951000</v>
      </c>
    </row>
    <row r="48" spans="1:2" x14ac:dyDescent="0.25">
      <c r="A48" t="s">
        <v>149</v>
      </c>
      <c r="B48">
        <v>686166</v>
      </c>
    </row>
    <row r="49" spans="1:2" x14ac:dyDescent="0.25">
      <c r="A49" t="s">
        <v>150</v>
      </c>
      <c r="B49">
        <v>455066</v>
      </c>
    </row>
    <row r="50" spans="1:2" x14ac:dyDescent="0.25">
      <c r="A50" t="s">
        <v>151</v>
      </c>
      <c r="B50">
        <v>491306</v>
      </c>
    </row>
    <row r="51" spans="1:2" x14ac:dyDescent="0.25">
      <c r="A51" t="s">
        <v>152</v>
      </c>
      <c r="B51" s="1">
        <v>1277</v>
      </c>
    </row>
    <row r="52" spans="1:2" x14ac:dyDescent="0.25">
      <c r="A52" t="s">
        <v>13</v>
      </c>
      <c r="B52" s="1">
        <v>0</v>
      </c>
    </row>
    <row r="53" spans="1:2" x14ac:dyDescent="0.25">
      <c r="A53" t="s">
        <v>14</v>
      </c>
      <c r="B53">
        <v>410791</v>
      </c>
    </row>
    <row r="54" spans="1:2" x14ac:dyDescent="0.25">
      <c r="A54" t="s">
        <v>49</v>
      </c>
      <c r="B54" s="1">
        <v>217517</v>
      </c>
    </row>
    <row r="55" spans="1:2" x14ac:dyDescent="0.25">
      <c r="A55" t="s">
        <v>15</v>
      </c>
      <c r="B55" s="1">
        <v>2282000</v>
      </c>
    </row>
    <row r="56" spans="1:2" x14ac:dyDescent="0.25">
      <c r="A56" t="s">
        <v>153</v>
      </c>
      <c r="B56" s="1">
        <v>3424000</v>
      </c>
    </row>
    <row r="57" spans="1:2" x14ac:dyDescent="0.25">
      <c r="A57" t="s">
        <v>47</v>
      </c>
      <c r="B57">
        <v>0</v>
      </c>
    </row>
    <row r="58" spans="1:2" x14ac:dyDescent="0.25">
      <c r="A58" t="s">
        <v>50</v>
      </c>
      <c r="B58">
        <v>4713</v>
      </c>
    </row>
    <row r="59" spans="1:2" x14ac:dyDescent="0.25">
      <c r="A59" t="s">
        <v>51</v>
      </c>
      <c r="B59" s="1">
        <v>94254</v>
      </c>
    </row>
    <row r="60" spans="1:2" x14ac:dyDescent="0.25">
      <c r="A60" t="s">
        <v>52</v>
      </c>
      <c r="B60" s="1">
        <v>94254</v>
      </c>
    </row>
    <row r="61" spans="1:2" x14ac:dyDescent="0.25">
      <c r="A61" t="s">
        <v>154</v>
      </c>
      <c r="B61" s="1">
        <v>0</v>
      </c>
    </row>
    <row r="62" spans="1:2" x14ac:dyDescent="0.25">
      <c r="A62" t="s">
        <v>53</v>
      </c>
      <c r="B62" s="1">
        <v>23563</v>
      </c>
    </row>
    <row r="63" spans="1:2" x14ac:dyDescent="0.25">
      <c r="A63" t="s">
        <v>16</v>
      </c>
      <c r="B63" s="1">
        <v>103735</v>
      </c>
    </row>
    <row r="64" spans="1:2" x14ac:dyDescent="0.25">
      <c r="A64" t="s">
        <v>17</v>
      </c>
      <c r="B64" s="1">
        <v>103735</v>
      </c>
    </row>
    <row r="65" spans="1:2" x14ac:dyDescent="0.25">
      <c r="A65" t="s">
        <v>155</v>
      </c>
      <c r="B65" s="1">
        <v>269296</v>
      </c>
    </row>
    <row r="66" spans="1:2" x14ac:dyDescent="0.25">
      <c r="A66" t="s">
        <v>18</v>
      </c>
      <c r="B66" s="1">
        <v>2962000</v>
      </c>
    </row>
    <row r="67" spans="1:2" x14ac:dyDescent="0.25">
      <c r="A67" t="s">
        <v>19</v>
      </c>
      <c r="B67" s="1">
        <v>2693000</v>
      </c>
    </row>
    <row r="68" spans="1:2" x14ac:dyDescent="0.25">
      <c r="A68" t="s">
        <v>156</v>
      </c>
      <c r="B68" s="1">
        <v>2448000</v>
      </c>
    </row>
    <row r="69" spans="1:2" x14ac:dyDescent="0.25">
      <c r="A69" t="s">
        <v>20</v>
      </c>
      <c r="B69" s="1">
        <v>2962000</v>
      </c>
    </row>
    <row r="70" spans="1:2" x14ac:dyDescent="0.25">
      <c r="A70" t="s">
        <v>54</v>
      </c>
      <c r="B70">
        <v>733.2</v>
      </c>
    </row>
    <row r="71" spans="1:2" x14ac:dyDescent="0.25">
      <c r="A71" t="s">
        <v>157</v>
      </c>
      <c r="B71">
        <v>514671</v>
      </c>
    </row>
    <row r="72" spans="1:2" x14ac:dyDescent="0.25">
      <c r="A72" t="s">
        <v>158</v>
      </c>
      <c r="B72">
        <v>21.13</v>
      </c>
    </row>
    <row r="73" spans="1:2" x14ac:dyDescent="0.25">
      <c r="A73" t="s">
        <v>159</v>
      </c>
      <c r="B73">
        <v>1331</v>
      </c>
    </row>
    <row r="74" spans="1:2" x14ac:dyDescent="0.25">
      <c r="A74" t="s">
        <v>160</v>
      </c>
      <c r="B74">
        <v>7132</v>
      </c>
    </row>
    <row r="75" spans="1:2" x14ac:dyDescent="0.25">
      <c r="A75" t="s">
        <v>161</v>
      </c>
      <c r="B75">
        <v>66094</v>
      </c>
    </row>
    <row r="76" spans="1:2" x14ac:dyDescent="0.25">
      <c r="A76" t="s">
        <v>162</v>
      </c>
      <c r="B76">
        <v>11411</v>
      </c>
    </row>
    <row r="77" spans="1:2" x14ac:dyDescent="0.25">
      <c r="A77" t="s">
        <v>163</v>
      </c>
      <c r="B77">
        <v>9401</v>
      </c>
    </row>
    <row r="78" spans="1:2" x14ac:dyDescent="0.25">
      <c r="A78" t="s">
        <v>164</v>
      </c>
      <c r="B78">
        <v>10</v>
      </c>
    </row>
    <row r="79" spans="1:2" x14ac:dyDescent="0.25">
      <c r="A79" t="s">
        <v>165</v>
      </c>
      <c r="B79">
        <v>10</v>
      </c>
    </row>
    <row r="80" spans="1:2" x14ac:dyDescent="0.25">
      <c r="A80" t="s">
        <v>166</v>
      </c>
      <c r="B80">
        <v>1.21</v>
      </c>
    </row>
    <row r="81" spans="1:3" x14ac:dyDescent="0.25">
      <c r="A81" t="s">
        <v>167</v>
      </c>
      <c r="B81">
        <v>1.21</v>
      </c>
    </row>
    <row r="82" spans="1:3" x14ac:dyDescent="0.25">
      <c r="A82" t="s">
        <v>168</v>
      </c>
      <c r="B82">
        <v>0</v>
      </c>
    </row>
    <row r="83" spans="1:3" x14ac:dyDescent="0.25">
      <c r="A83" t="s">
        <v>169</v>
      </c>
      <c r="B83">
        <v>0</v>
      </c>
      <c r="C83" t="s">
        <v>21</v>
      </c>
    </row>
    <row r="84" spans="1:3" x14ac:dyDescent="0.25">
      <c r="A84" t="s">
        <v>170</v>
      </c>
      <c r="B84">
        <v>0.77400000000000002</v>
      </c>
    </row>
    <row r="85" spans="1:3" x14ac:dyDescent="0.25">
      <c r="A85" t="s">
        <v>171</v>
      </c>
      <c r="B85">
        <v>0.95620000000000005</v>
      </c>
    </row>
    <row r="86" spans="1:3" x14ac:dyDescent="0.25">
      <c r="A86" t="s">
        <v>172</v>
      </c>
      <c r="B86">
        <v>0.14749999999999999</v>
      </c>
      <c r="C86" t="s">
        <v>22</v>
      </c>
    </row>
    <row r="87" spans="1:3" x14ac:dyDescent="0.25">
      <c r="A87" t="s">
        <v>173</v>
      </c>
      <c r="B87">
        <v>0.7</v>
      </c>
      <c r="C87" t="s">
        <v>22</v>
      </c>
    </row>
    <row r="88" spans="1:3" x14ac:dyDescent="0.25">
      <c r="A88" t="s">
        <v>174</v>
      </c>
      <c r="B88">
        <v>0.80840000000000001</v>
      </c>
      <c r="C88" t="s">
        <v>22</v>
      </c>
    </row>
    <row r="89" spans="1:3" x14ac:dyDescent="0.25">
      <c r="A89" t="s">
        <v>175</v>
      </c>
      <c r="B89">
        <v>0.9</v>
      </c>
    </row>
    <row r="90" spans="1:3" x14ac:dyDescent="0.25">
      <c r="A90" t="s">
        <v>176</v>
      </c>
      <c r="B90">
        <v>0.9</v>
      </c>
    </row>
    <row r="91" spans="1:3" x14ac:dyDescent="0.25">
      <c r="A91" t="s">
        <v>177</v>
      </c>
      <c r="B91">
        <v>0.1754</v>
      </c>
      <c r="C91" t="s">
        <v>22</v>
      </c>
    </row>
    <row r="92" spans="1:3" x14ac:dyDescent="0.25">
      <c r="A92" t="s">
        <v>178</v>
      </c>
      <c r="B92">
        <v>0.7</v>
      </c>
    </row>
    <row r="93" spans="1:3" x14ac:dyDescent="0.25">
      <c r="A93" t="s">
        <v>179</v>
      </c>
      <c r="B93">
        <v>0.80840000000000001</v>
      </c>
      <c r="C93" t="s">
        <v>22</v>
      </c>
    </row>
    <row r="94" spans="1:3" x14ac:dyDescent="0.25">
      <c r="A94" t="s">
        <v>180</v>
      </c>
      <c r="B94">
        <v>0.80840000000000001</v>
      </c>
    </row>
    <row r="95" spans="1:3" x14ac:dyDescent="0.25">
      <c r="A95" t="s">
        <v>181</v>
      </c>
      <c r="B95" t="s">
        <v>23</v>
      </c>
    </row>
    <row r="96" spans="1:3" x14ac:dyDescent="0.25">
      <c r="A96" t="s">
        <v>182</v>
      </c>
      <c r="B96" t="s">
        <v>24</v>
      </c>
    </row>
    <row r="97" spans="1:2" x14ac:dyDescent="0.25">
      <c r="A97" t="s">
        <v>183</v>
      </c>
      <c r="B97">
        <v>3.4449999999999998</v>
      </c>
    </row>
    <row r="98" spans="1:2" x14ac:dyDescent="0.25">
      <c r="A98" t="s">
        <v>184</v>
      </c>
      <c r="B98">
        <v>5.0010000000000003</v>
      </c>
    </row>
    <row r="99" spans="1:2" x14ac:dyDescent="0.25">
      <c r="A99" t="s">
        <v>185</v>
      </c>
      <c r="B99">
        <v>3.4590000000000001</v>
      </c>
    </row>
    <row r="100" spans="1:2" x14ac:dyDescent="0.25">
      <c r="A100" t="s">
        <v>186</v>
      </c>
      <c r="B100">
        <v>3.5</v>
      </c>
    </row>
    <row r="101" spans="1:2" x14ac:dyDescent="0.25">
      <c r="A101" t="s">
        <v>187</v>
      </c>
      <c r="B101">
        <v>1</v>
      </c>
    </row>
    <row r="102" spans="1:2" x14ac:dyDescent="0.25">
      <c r="A102" t="s">
        <v>188</v>
      </c>
      <c r="B102">
        <v>1.6</v>
      </c>
    </row>
    <row r="103" spans="1:2" x14ac:dyDescent="0.25">
      <c r="A103" t="s">
        <v>189</v>
      </c>
      <c r="B103">
        <v>1</v>
      </c>
    </row>
    <row r="104" spans="1:2" x14ac:dyDescent="0.25">
      <c r="A104" t="s">
        <v>190</v>
      </c>
      <c r="B104">
        <v>1</v>
      </c>
    </row>
    <row r="105" spans="1:2" x14ac:dyDescent="0.25">
      <c r="A105" t="s">
        <v>191</v>
      </c>
      <c r="B105">
        <v>1.093</v>
      </c>
    </row>
    <row r="106" spans="1:2" x14ac:dyDescent="0.25">
      <c r="A106" t="s">
        <v>192</v>
      </c>
      <c r="B106">
        <v>1.44</v>
      </c>
    </row>
    <row r="107" spans="1:2" x14ac:dyDescent="0.25">
      <c r="A107" t="s">
        <v>193</v>
      </c>
      <c r="B107">
        <v>1.1020000000000001</v>
      </c>
    </row>
    <row r="108" spans="1:2" x14ac:dyDescent="0.25">
      <c r="A108" t="s">
        <v>194</v>
      </c>
      <c r="B108">
        <v>1</v>
      </c>
    </row>
    <row r="109" spans="1:2" x14ac:dyDescent="0.25">
      <c r="A109" t="s">
        <v>195</v>
      </c>
      <c r="B109">
        <v>40.94</v>
      </c>
    </row>
    <row r="110" spans="1:2" x14ac:dyDescent="0.25">
      <c r="A110" t="s">
        <v>196</v>
      </c>
      <c r="B110">
        <v>7008</v>
      </c>
    </row>
    <row r="111" spans="1:2" x14ac:dyDescent="0.25">
      <c r="A111" t="s">
        <v>197</v>
      </c>
      <c r="B111">
        <v>107956</v>
      </c>
    </row>
    <row r="112" spans="1:2" x14ac:dyDescent="0.25">
      <c r="A112" t="s">
        <v>198</v>
      </c>
      <c r="B112">
        <v>167704</v>
      </c>
    </row>
    <row r="113" spans="1:3" x14ac:dyDescent="0.25">
      <c r="A113" t="s">
        <v>199</v>
      </c>
      <c r="B113">
        <v>105011</v>
      </c>
    </row>
    <row r="114" spans="1:3" x14ac:dyDescent="0.25">
      <c r="A114" t="s">
        <v>200</v>
      </c>
      <c r="B114">
        <v>168037</v>
      </c>
    </row>
    <row r="115" spans="1:3" x14ac:dyDescent="0.25">
      <c r="A115" t="s">
        <v>201</v>
      </c>
      <c r="B115">
        <v>1.153</v>
      </c>
    </row>
    <row r="116" spans="1:3" x14ac:dyDescent="0.25">
      <c r="A116" t="s">
        <v>202</v>
      </c>
      <c r="B116">
        <v>-17706</v>
      </c>
      <c r="C116" t="s">
        <v>25</v>
      </c>
    </row>
    <row r="117" spans="1:3" x14ac:dyDescent="0.25">
      <c r="A117" t="s">
        <v>203</v>
      </c>
      <c r="B117">
        <v>572357</v>
      </c>
      <c r="C117" t="s">
        <v>25</v>
      </c>
    </row>
    <row r="118" spans="1:3" x14ac:dyDescent="0.25">
      <c r="A118" t="s">
        <v>204</v>
      </c>
      <c r="B118">
        <v>57686</v>
      </c>
    </row>
    <row r="119" spans="1:3" x14ac:dyDescent="0.25">
      <c r="A119" t="s">
        <v>205</v>
      </c>
      <c r="B119">
        <v>-12704</v>
      </c>
      <c r="C119" t="s">
        <v>25</v>
      </c>
    </row>
    <row r="120" spans="1:3" x14ac:dyDescent="0.25">
      <c r="A120" t="s">
        <v>206</v>
      </c>
      <c r="B120">
        <v>436586</v>
      </c>
    </row>
    <row r="121" spans="1:3" x14ac:dyDescent="0.25">
      <c r="A121" t="s">
        <v>207</v>
      </c>
      <c r="B121">
        <v>462604</v>
      </c>
      <c r="C121" t="s">
        <v>25</v>
      </c>
    </row>
    <row r="122" spans="1:3" x14ac:dyDescent="0.25">
      <c r="A122" t="s">
        <v>208</v>
      </c>
      <c r="B122">
        <v>1173</v>
      </c>
    </row>
    <row r="123" spans="1:3" x14ac:dyDescent="0.25">
      <c r="A123" t="s">
        <v>209</v>
      </c>
      <c r="B123">
        <v>1.153</v>
      </c>
    </row>
    <row r="124" spans="1:3" x14ac:dyDescent="0.25">
      <c r="A124" t="s">
        <v>210</v>
      </c>
      <c r="B124">
        <v>1241</v>
      </c>
    </row>
    <row r="125" spans="1:3" x14ac:dyDescent="0.25">
      <c r="A125" t="s">
        <v>211</v>
      </c>
      <c r="B125">
        <v>133.9</v>
      </c>
    </row>
    <row r="126" spans="1:3" x14ac:dyDescent="0.25">
      <c r="A126" t="s">
        <v>212</v>
      </c>
      <c r="B126">
        <v>0.57650000000000001</v>
      </c>
    </row>
    <row r="127" spans="1:3" x14ac:dyDescent="0.25">
      <c r="A127" t="s">
        <v>213</v>
      </c>
      <c r="B127">
        <v>45</v>
      </c>
    </row>
    <row r="128" spans="1:3" x14ac:dyDescent="0.25">
      <c r="A128" t="s">
        <v>214</v>
      </c>
      <c r="B128">
        <v>2.8820000000000001</v>
      </c>
    </row>
    <row r="129" spans="1:3" x14ac:dyDescent="0.25">
      <c r="A129" t="s">
        <v>215</v>
      </c>
      <c r="B129">
        <v>4751</v>
      </c>
    </row>
    <row r="130" spans="1:3" x14ac:dyDescent="0.25">
      <c r="A130" t="s">
        <v>216</v>
      </c>
      <c r="B130">
        <v>928.4</v>
      </c>
    </row>
    <row r="131" spans="1:3" x14ac:dyDescent="0.25">
      <c r="A131" t="s">
        <v>217</v>
      </c>
      <c r="B131">
        <v>392214</v>
      </c>
    </row>
    <row r="132" spans="1:3" x14ac:dyDescent="0.25">
      <c r="A132" t="s">
        <v>218</v>
      </c>
      <c r="B132">
        <v>1.575E-2</v>
      </c>
      <c r="C132" t="s">
        <v>26</v>
      </c>
    </row>
    <row r="133" spans="1:3" x14ac:dyDescent="0.25">
      <c r="A133" t="s">
        <v>219</v>
      </c>
      <c r="B133">
        <v>1.575E-2</v>
      </c>
    </row>
    <row r="134" spans="1:3" x14ac:dyDescent="0.25">
      <c r="A134" t="s">
        <v>220</v>
      </c>
      <c r="B134">
        <v>1.4970000000000001</v>
      </c>
    </row>
    <row r="135" spans="1:3" x14ac:dyDescent="0.25">
      <c r="A135" t="s">
        <v>221</v>
      </c>
      <c r="B135">
        <v>15.59</v>
      </c>
    </row>
    <row r="136" spans="1:3" x14ac:dyDescent="0.25">
      <c r="A136" t="s">
        <v>222</v>
      </c>
      <c r="B136">
        <v>50.69</v>
      </c>
    </row>
    <row r="137" spans="1:3" x14ac:dyDescent="0.25">
      <c r="A137" t="s">
        <v>223</v>
      </c>
      <c r="B137">
        <v>16.309999999999999</v>
      </c>
    </row>
    <row r="138" spans="1:3" x14ac:dyDescent="0.25">
      <c r="A138" t="s">
        <v>224</v>
      </c>
      <c r="B138">
        <v>15.42</v>
      </c>
    </row>
    <row r="139" spans="1:3" x14ac:dyDescent="0.25">
      <c r="A139" t="s">
        <v>225</v>
      </c>
      <c r="B139">
        <v>8</v>
      </c>
    </row>
    <row r="140" spans="1:3" x14ac:dyDescent="0.25">
      <c r="A140" t="s">
        <v>226</v>
      </c>
      <c r="B140">
        <v>2.38</v>
      </c>
    </row>
    <row r="141" spans="1:3" x14ac:dyDescent="0.25">
      <c r="A141" t="s">
        <v>227</v>
      </c>
      <c r="B141">
        <v>1.3380000000000001</v>
      </c>
    </row>
    <row r="142" spans="1:3" x14ac:dyDescent="0.25">
      <c r="A142" t="s">
        <v>228</v>
      </c>
      <c r="B142">
        <v>6.0960000000000001</v>
      </c>
      <c r="C142" t="s">
        <v>26</v>
      </c>
    </row>
    <row r="143" spans="1:3" x14ac:dyDescent="0.25">
      <c r="A143" t="s">
        <v>229</v>
      </c>
      <c r="B143">
        <v>6.0960000000000001</v>
      </c>
      <c r="C143" t="s">
        <v>26</v>
      </c>
    </row>
    <row r="144" spans="1:3" x14ac:dyDescent="0.25">
      <c r="A144" t="s">
        <v>230</v>
      </c>
      <c r="B144">
        <v>20</v>
      </c>
    </row>
    <row r="145" spans="1:3" x14ac:dyDescent="0.25">
      <c r="A145" t="s">
        <v>231</v>
      </c>
      <c r="B145">
        <v>51.66</v>
      </c>
      <c r="C145" t="s">
        <v>27</v>
      </c>
    </row>
    <row r="146" spans="1:3" x14ac:dyDescent="0.25">
      <c r="A146" t="s">
        <v>232</v>
      </c>
      <c r="B146">
        <v>32</v>
      </c>
      <c r="C146" t="s">
        <v>27</v>
      </c>
    </row>
    <row r="147" spans="1:3" x14ac:dyDescent="0.25">
      <c r="A147" t="s">
        <v>233</v>
      </c>
      <c r="B147">
        <v>7.9429999999999996</v>
      </c>
      <c r="C147" t="s">
        <v>27</v>
      </c>
    </row>
    <row r="148" spans="1:3" x14ac:dyDescent="0.25">
      <c r="A148" t="s">
        <v>234</v>
      </c>
      <c r="B148">
        <v>1.4530000000000001</v>
      </c>
    </row>
    <row r="149" spans="1:3" x14ac:dyDescent="0.25">
      <c r="A149" t="s">
        <v>235</v>
      </c>
      <c r="B149">
        <v>13.77</v>
      </c>
    </row>
    <row r="150" spans="1:3" x14ac:dyDescent="0.25">
      <c r="A150" t="s">
        <v>236</v>
      </c>
      <c r="B150">
        <v>2000</v>
      </c>
    </row>
    <row r="151" spans="1:3" x14ac:dyDescent="0.25">
      <c r="A151" t="s">
        <v>237</v>
      </c>
      <c r="B151">
        <v>1</v>
      </c>
    </row>
    <row r="152" spans="1:3" x14ac:dyDescent="0.25">
      <c r="A152" t="s">
        <v>238</v>
      </c>
      <c r="B152">
        <v>1321</v>
      </c>
    </row>
    <row r="153" spans="1:3" x14ac:dyDescent="0.25">
      <c r="A153" t="s">
        <v>239</v>
      </c>
      <c r="B153">
        <v>2637</v>
      </c>
    </row>
    <row r="154" spans="1:3" x14ac:dyDescent="0.25">
      <c r="A154" t="s">
        <v>240</v>
      </c>
      <c r="B154">
        <v>1</v>
      </c>
    </row>
    <row r="155" spans="1:3" x14ac:dyDescent="0.25">
      <c r="A155" t="s">
        <v>241</v>
      </c>
      <c r="B155">
        <v>4</v>
      </c>
    </row>
    <row r="156" spans="1:3" x14ac:dyDescent="0.25">
      <c r="A156" t="s">
        <v>242</v>
      </c>
      <c r="B156">
        <v>26.07</v>
      </c>
    </row>
    <row r="157" spans="1:3" x14ac:dyDescent="0.25">
      <c r="A157" t="s">
        <v>243</v>
      </c>
      <c r="B157">
        <v>0.1027</v>
      </c>
    </row>
    <row r="158" spans="1:3" x14ac:dyDescent="0.25">
      <c r="A158" t="s">
        <v>244</v>
      </c>
      <c r="B158">
        <v>2</v>
      </c>
    </row>
    <row r="159" spans="1:3" x14ac:dyDescent="0.25">
      <c r="A159" t="s">
        <v>245</v>
      </c>
      <c r="B159">
        <v>8</v>
      </c>
    </row>
    <row r="160" spans="1:3" x14ac:dyDescent="0.25">
      <c r="A160" t="s">
        <v>246</v>
      </c>
      <c r="B160">
        <v>595.79999999999995</v>
      </c>
    </row>
    <row r="161" spans="1:3" x14ac:dyDescent="0.25">
      <c r="A161" t="s">
        <v>247</v>
      </c>
      <c r="B161">
        <v>950.4</v>
      </c>
    </row>
    <row r="162" spans="1:3" x14ac:dyDescent="0.25">
      <c r="A162" t="s">
        <v>248</v>
      </c>
      <c r="B162">
        <v>1.9050000000000001E-2</v>
      </c>
      <c r="C162" t="s">
        <v>26</v>
      </c>
    </row>
    <row r="163" spans="1:3" x14ac:dyDescent="0.25">
      <c r="A163" t="s">
        <v>249</v>
      </c>
      <c r="B163">
        <v>1.9050000000000001E-2</v>
      </c>
      <c r="C163" t="s">
        <v>26</v>
      </c>
    </row>
    <row r="164" spans="1:3" x14ac:dyDescent="0.25">
      <c r="A164" t="s">
        <v>28</v>
      </c>
      <c r="B164">
        <v>148113</v>
      </c>
    </row>
    <row r="165" spans="1:3" x14ac:dyDescent="0.25">
      <c r="A165" t="s">
        <v>250</v>
      </c>
      <c r="B165" s="1" t="s">
        <v>29</v>
      </c>
    </row>
    <row r="166" spans="1:3" x14ac:dyDescent="0.25">
      <c r="A166" t="s">
        <v>251</v>
      </c>
      <c r="B166" s="1">
        <v>1</v>
      </c>
    </row>
    <row r="167" spans="1:3" x14ac:dyDescent="0.25">
      <c r="A167" t="s">
        <v>252</v>
      </c>
      <c r="B167">
        <v>1</v>
      </c>
    </row>
    <row r="168" spans="1:3" x14ac:dyDescent="0.25">
      <c r="A168" t="s">
        <v>253</v>
      </c>
      <c r="B168" s="1">
        <v>5.9459999999999997</v>
      </c>
    </row>
    <row r="169" spans="1:3" x14ac:dyDescent="0.25">
      <c r="A169" t="s">
        <v>254</v>
      </c>
      <c r="B169" s="1">
        <v>1.2</v>
      </c>
    </row>
    <row r="170" spans="1:3" x14ac:dyDescent="0.25">
      <c r="A170" t="s">
        <v>255</v>
      </c>
      <c r="B170" s="1" t="s">
        <v>109</v>
      </c>
    </row>
    <row r="171" spans="1:3" x14ac:dyDescent="0.25">
      <c r="A171" t="s">
        <v>256</v>
      </c>
      <c r="B171" t="s">
        <v>110</v>
      </c>
    </row>
    <row r="172" spans="1:3" x14ac:dyDescent="0.25">
      <c r="A172" t="s">
        <v>257</v>
      </c>
      <c r="B172" s="1">
        <v>1.5</v>
      </c>
    </row>
    <row r="173" spans="1:3" x14ac:dyDescent="0.25">
      <c r="A173" t="s">
        <v>258</v>
      </c>
      <c r="B173" s="1">
        <v>1.33</v>
      </c>
    </row>
    <row r="174" spans="1:3" x14ac:dyDescent="0.25">
      <c r="A174" t="s">
        <v>259</v>
      </c>
      <c r="B174" s="1">
        <v>354379</v>
      </c>
    </row>
    <row r="175" spans="1:3" x14ac:dyDescent="0.25">
      <c r="A175" t="s">
        <v>260</v>
      </c>
      <c r="B175" s="1">
        <v>237434</v>
      </c>
    </row>
    <row r="176" spans="1:3" x14ac:dyDescent="0.25">
      <c r="A176" t="s">
        <v>261</v>
      </c>
      <c r="B176" s="1">
        <v>101325</v>
      </c>
      <c r="C176" t="s">
        <v>21</v>
      </c>
    </row>
    <row r="177" spans="1:3" x14ac:dyDescent="0.25">
      <c r="A177" t="s">
        <v>262</v>
      </c>
      <c r="B177" s="1">
        <v>103829</v>
      </c>
    </row>
    <row r="178" spans="1:3" x14ac:dyDescent="0.25">
      <c r="A178" t="s">
        <v>263</v>
      </c>
      <c r="B178" s="1">
        <v>200000</v>
      </c>
      <c r="C178" t="s">
        <v>21</v>
      </c>
    </row>
    <row r="179" spans="1:3" x14ac:dyDescent="0.25">
      <c r="A179" t="s">
        <v>264</v>
      </c>
      <c r="B179" s="1">
        <v>4571000</v>
      </c>
    </row>
    <row r="180" spans="1:3" x14ac:dyDescent="0.25">
      <c r="A180" t="s">
        <v>265</v>
      </c>
      <c r="B180" s="1">
        <v>2647000</v>
      </c>
    </row>
    <row r="181" spans="1:3" x14ac:dyDescent="0.25">
      <c r="A181" t="s">
        <v>266</v>
      </c>
      <c r="B181" s="1">
        <v>18643</v>
      </c>
      <c r="C181" t="s">
        <v>30</v>
      </c>
    </row>
    <row r="182" spans="1:3" x14ac:dyDescent="0.25">
      <c r="A182" t="s">
        <v>267</v>
      </c>
      <c r="B182" s="1">
        <v>101325</v>
      </c>
      <c r="C182" t="s">
        <v>21</v>
      </c>
    </row>
    <row r="183" spans="1:3" x14ac:dyDescent="0.25">
      <c r="A183" t="s">
        <v>268</v>
      </c>
      <c r="B183" s="1">
        <v>2647000</v>
      </c>
    </row>
    <row r="184" spans="1:3" x14ac:dyDescent="0.25">
      <c r="A184" t="s">
        <v>269</v>
      </c>
      <c r="B184">
        <v>4292</v>
      </c>
      <c r="C184" t="s">
        <v>30</v>
      </c>
    </row>
    <row r="185" spans="1:3" x14ac:dyDescent="0.25">
      <c r="A185" t="s">
        <v>270</v>
      </c>
      <c r="B185">
        <v>2.2710000000000001E-2</v>
      </c>
    </row>
    <row r="186" spans="1:3" x14ac:dyDescent="0.25">
      <c r="A186" t="s">
        <v>271</v>
      </c>
      <c r="B186" s="1">
        <v>0.57899999999999996</v>
      </c>
      <c r="C186" t="s">
        <v>22</v>
      </c>
    </row>
    <row r="187" spans="1:3" x14ac:dyDescent="0.25">
      <c r="A187" t="s">
        <v>272</v>
      </c>
      <c r="B187" s="1">
        <v>103829</v>
      </c>
    </row>
    <row r="188" spans="1:3" x14ac:dyDescent="0.25">
      <c r="A188" t="s">
        <v>273</v>
      </c>
      <c r="B188" s="1">
        <v>3360000</v>
      </c>
    </row>
    <row r="189" spans="1:3" x14ac:dyDescent="0.25">
      <c r="A189" t="s">
        <v>274</v>
      </c>
      <c r="B189" s="1">
        <v>3256000</v>
      </c>
    </row>
    <row r="190" spans="1:3" x14ac:dyDescent="0.25">
      <c r="A190" t="s">
        <v>275</v>
      </c>
      <c r="B190" s="1">
        <v>3256000</v>
      </c>
    </row>
    <row r="191" spans="1:3" x14ac:dyDescent="0.25">
      <c r="A191" t="s">
        <v>276</v>
      </c>
      <c r="B191" s="1">
        <v>4088000</v>
      </c>
      <c r="C191" t="s">
        <v>30</v>
      </c>
    </row>
    <row r="192" spans="1:3" x14ac:dyDescent="0.25">
      <c r="A192" t="s">
        <v>277</v>
      </c>
      <c r="B192" s="1">
        <v>4088000</v>
      </c>
      <c r="C192" t="s">
        <v>30</v>
      </c>
    </row>
    <row r="193" spans="1:3" x14ac:dyDescent="0.25">
      <c r="A193" t="s">
        <v>278</v>
      </c>
      <c r="B193" s="1">
        <v>559105</v>
      </c>
      <c r="C193" t="s">
        <v>30</v>
      </c>
    </row>
    <row r="194" spans="1:3" x14ac:dyDescent="0.25">
      <c r="A194" t="s">
        <v>279</v>
      </c>
      <c r="B194" s="1">
        <v>559105</v>
      </c>
    </row>
    <row r="195" spans="1:3" x14ac:dyDescent="0.25">
      <c r="A195" t="s">
        <v>280</v>
      </c>
      <c r="B195">
        <v>559099</v>
      </c>
      <c r="C195" t="s">
        <v>30</v>
      </c>
    </row>
    <row r="196" spans="1:3" x14ac:dyDescent="0.25">
      <c r="A196" t="s">
        <v>281</v>
      </c>
      <c r="B196">
        <v>14979</v>
      </c>
    </row>
    <row r="197" spans="1:3" x14ac:dyDescent="0.25">
      <c r="A197" t="s">
        <v>282</v>
      </c>
      <c r="B197">
        <v>14977</v>
      </c>
    </row>
    <row r="198" spans="1:3" x14ac:dyDescent="0.25">
      <c r="A198" t="s">
        <v>283</v>
      </c>
      <c r="B198">
        <v>15.08</v>
      </c>
    </row>
    <row r="199" spans="1:3" x14ac:dyDescent="0.25">
      <c r="A199" t="s">
        <v>284</v>
      </c>
      <c r="B199" t="s">
        <v>31</v>
      </c>
    </row>
    <row r="200" spans="1:3" x14ac:dyDescent="0.25">
      <c r="A200" t="s">
        <v>285</v>
      </c>
      <c r="B200">
        <v>994.9</v>
      </c>
    </row>
    <row r="201" spans="1:3" x14ac:dyDescent="0.25">
      <c r="A201" t="s">
        <v>286</v>
      </c>
      <c r="B201">
        <v>0.8</v>
      </c>
    </row>
    <row r="202" spans="1:3" x14ac:dyDescent="0.25">
      <c r="A202" t="s">
        <v>287</v>
      </c>
      <c r="B202">
        <v>1</v>
      </c>
    </row>
    <row r="203" spans="1:3" x14ac:dyDescent="0.25">
      <c r="A203" t="s">
        <v>288</v>
      </c>
      <c r="B203">
        <v>8.0149999999999999E-2</v>
      </c>
    </row>
    <row r="204" spans="1:3" x14ac:dyDescent="0.25">
      <c r="A204" t="s">
        <v>289</v>
      </c>
      <c r="B204" s="1">
        <v>24583</v>
      </c>
    </row>
    <row r="205" spans="1:3" x14ac:dyDescent="0.25">
      <c r="A205" t="s">
        <v>290</v>
      </c>
      <c r="B205" s="1">
        <v>0</v>
      </c>
    </row>
    <row r="206" spans="1:3" x14ac:dyDescent="0.25">
      <c r="A206" t="s">
        <v>291</v>
      </c>
      <c r="B206" s="1">
        <v>5025000</v>
      </c>
    </row>
    <row r="207" spans="1:3" x14ac:dyDescent="0.25">
      <c r="A207" t="s">
        <v>292</v>
      </c>
      <c r="B207">
        <v>10</v>
      </c>
    </row>
    <row r="208" spans="1:3" x14ac:dyDescent="0.25">
      <c r="A208" t="s">
        <v>293</v>
      </c>
      <c r="B208" t="s">
        <v>31</v>
      </c>
    </row>
    <row r="209" spans="1:2" x14ac:dyDescent="0.25">
      <c r="A209" t="s">
        <v>294</v>
      </c>
      <c r="B209">
        <v>0</v>
      </c>
    </row>
    <row r="210" spans="1:2" x14ac:dyDescent="0.25">
      <c r="A210" t="s">
        <v>295</v>
      </c>
      <c r="B210" t="s">
        <v>32</v>
      </c>
    </row>
    <row r="211" spans="1:2" x14ac:dyDescent="0.25">
      <c r="A211" t="s">
        <v>33</v>
      </c>
      <c r="B211">
        <v>4131</v>
      </c>
    </row>
    <row r="212" spans="1:2" x14ac:dyDescent="0.25">
      <c r="A212" t="s">
        <v>296</v>
      </c>
      <c r="B212">
        <v>9.2359999999999998E-2</v>
      </c>
    </row>
    <row r="213" spans="1:2" x14ac:dyDescent="0.25">
      <c r="A213" t="s">
        <v>297</v>
      </c>
      <c r="B213">
        <v>9.2359999999999998E-2</v>
      </c>
    </row>
    <row r="214" spans="1:2" x14ac:dyDescent="0.25">
      <c r="A214" t="s">
        <v>298</v>
      </c>
      <c r="B214">
        <v>1</v>
      </c>
    </row>
    <row r="215" spans="1:2" x14ac:dyDescent="0.25">
      <c r="A215" t="s">
        <v>299</v>
      </c>
      <c r="B215">
        <v>502492</v>
      </c>
    </row>
    <row r="216" spans="1:2" x14ac:dyDescent="0.25">
      <c r="A216" t="s">
        <v>300</v>
      </c>
      <c r="B216">
        <v>1344</v>
      </c>
    </row>
    <row r="217" spans="1:2" x14ac:dyDescent="0.25">
      <c r="A217" t="s">
        <v>301</v>
      </c>
      <c r="B217" t="s">
        <v>108</v>
      </c>
    </row>
    <row r="218" spans="1:2" x14ac:dyDescent="0.25">
      <c r="A218" t="s">
        <v>302</v>
      </c>
      <c r="B218">
        <v>287.2</v>
      </c>
    </row>
    <row r="219" spans="1:2" x14ac:dyDescent="0.25">
      <c r="A219" t="s">
        <v>303</v>
      </c>
      <c r="B219">
        <v>305.7</v>
      </c>
    </row>
    <row r="220" spans="1:2" x14ac:dyDescent="0.25">
      <c r="A220" t="s">
        <v>304</v>
      </c>
      <c r="B220">
        <v>322.39999999999998</v>
      </c>
    </row>
    <row r="221" spans="1:2" x14ac:dyDescent="0.25">
      <c r="A221" t="s">
        <v>305</v>
      </c>
      <c r="B221">
        <v>323.2</v>
      </c>
    </row>
    <row r="222" spans="1:2" x14ac:dyDescent="0.25">
      <c r="A222" t="s">
        <v>306</v>
      </c>
      <c r="B222">
        <v>298.89999999999998</v>
      </c>
    </row>
    <row r="223" spans="1:2" x14ac:dyDescent="0.25">
      <c r="A223" t="s">
        <v>307</v>
      </c>
      <c r="B223">
        <v>313.10000000000002</v>
      </c>
    </row>
    <row r="224" spans="1:2" x14ac:dyDescent="0.25">
      <c r="A224" t="s">
        <v>308</v>
      </c>
      <c r="B224">
        <v>298.2</v>
      </c>
    </row>
    <row r="225" spans="1:3" x14ac:dyDescent="0.25">
      <c r="A225" t="s">
        <v>309</v>
      </c>
      <c r="B225">
        <v>313.2</v>
      </c>
      <c r="C225" t="s">
        <v>34</v>
      </c>
    </row>
    <row r="226" spans="1:3" x14ac:dyDescent="0.25">
      <c r="A226" t="s">
        <v>310</v>
      </c>
      <c r="B226">
        <v>511.7</v>
      </c>
    </row>
    <row r="227" spans="1:3" x14ac:dyDescent="0.25">
      <c r="A227" t="s">
        <v>311</v>
      </c>
      <c r="B227">
        <v>238.6</v>
      </c>
    </row>
    <row r="228" spans="1:3" x14ac:dyDescent="0.25">
      <c r="A228" t="s">
        <v>312</v>
      </c>
      <c r="B228">
        <v>283.8</v>
      </c>
    </row>
    <row r="229" spans="1:3" x14ac:dyDescent="0.25">
      <c r="A229" t="s">
        <v>313</v>
      </c>
      <c r="B229">
        <v>473.2</v>
      </c>
    </row>
    <row r="230" spans="1:3" x14ac:dyDescent="0.25">
      <c r="A230" t="s">
        <v>314</v>
      </c>
      <c r="B230">
        <v>200</v>
      </c>
    </row>
    <row r="231" spans="1:3" x14ac:dyDescent="0.25">
      <c r="A231" t="s">
        <v>315</v>
      </c>
      <c r="B231">
        <v>993.2</v>
      </c>
      <c r="C231" t="s">
        <v>34</v>
      </c>
    </row>
    <row r="232" spans="1:3" x14ac:dyDescent="0.25">
      <c r="A232" t="s">
        <v>316</v>
      </c>
      <c r="B232">
        <v>313.2</v>
      </c>
    </row>
    <row r="233" spans="1:3" x14ac:dyDescent="0.25">
      <c r="A233" t="s">
        <v>317</v>
      </c>
      <c r="B233">
        <v>473.2</v>
      </c>
    </row>
    <row r="234" spans="1:3" x14ac:dyDescent="0.25">
      <c r="A234" t="s">
        <v>318</v>
      </c>
      <c r="B234">
        <v>350.2</v>
      </c>
    </row>
    <row r="235" spans="1:3" x14ac:dyDescent="0.25">
      <c r="A235" t="s">
        <v>319</v>
      </c>
      <c r="B235">
        <v>893.2</v>
      </c>
      <c r="C235" t="s">
        <v>34</v>
      </c>
    </row>
    <row r="236" spans="1:3" x14ac:dyDescent="0.25">
      <c r="A236" t="s">
        <v>320</v>
      </c>
      <c r="B236">
        <v>314.8</v>
      </c>
    </row>
    <row r="237" spans="1:3" x14ac:dyDescent="0.25">
      <c r="A237" t="s">
        <v>321</v>
      </c>
      <c r="B237">
        <v>372.8</v>
      </c>
    </row>
    <row r="238" spans="1:3" x14ac:dyDescent="0.25">
      <c r="A238" t="s">
        <v>322</v>
      </c>
      <c r="B238">
        <v>5.0000000000000001E-4</v>
      </c>
      <c r="C238" t="s">
        <v>26</v>
      </c>
    </row>
    <row r="239" spans="1:3" x14ac:dyDescent="0.25">
      <c r="A239" t="s">
        <v>323</v>
      </c>
      <c r="B239">
        <v>1.6509999999999999E-3</v>
      </c>
    </row>
    <row r="240" spans="1:3" x14ac:dyDescent="0.25">
      <c r="A240" t="s">
        <v>324</v>
      </c>
      <c r="B240">
        <v>1.6509999999999999E-3</v>
      </c>
    </row>
    <row r="241" spans="1:3" x14ac:dyDescent="0.25">
      <c r="A241" t="s">
        <v>325</v>
      </c>
      <c r="B241">
        <v>324.8</v>
      </c>
    </row>
    <row r="242" spans="1:3" x14ac:dyDescent="0.25">
      <c r="A242" t="s">
        <v>326</v>
      </c>
      <c r="B242">
        <v>285.2</v>
      </c>
    </row>
    <row r="243" spans="1:3" x14ac:dyDescent="0.25">
      <c r="A243" t="s">
        <v>327</v>
      </c>
      <c r="B243">
        <v>311.10000000000002</v>
      </c>
    </row>
    <row r="244" spans="1:3" x14ac:dyDescent="0.25">
      <c r="A244" t="s">
        <v>328</v>
      </c>
      <c r="B244">
        <v>918</v>
      </c>
    </row>
    <row r="245" spans="1:3" x14ac:dyDescent="0.25">
      <c r="A245" t="s">
        <v>329</v>
      </c>
      <c r="B245">
        <v>918</v>
      </c>
    </row>
    <row r="246" spans="1:3" x14ac:dyDescent="0.25">
      <c r="A246" t="s">
        <v>330</v>
      </c>
      <c r="B246">
        <v>113.6</v>
      </c>
    </row>
    <row r="247" spans="1:3" x14ac:dyDescent="0.25">
      <c r="A247" t="s">
        <v>331</v>
      </c>
      <c r="B247">
        <v>85.53</v>
      </c>
    </row>
    <row r="248" spans="1:3" x14ac:dyDescent="0.25">
      <c r="A248" t="s">
        <v>332</v>
      </c>
      <c r="B248" t="s">
        <v>111</v>
      </c>
      <c r="C248" t="s">
        <v>333</v>
      </c>
    </row>
    <row r="249" spans="1:3" x14ac:dyDescent="0.25">
      <c r="A249" t="s">
        <v>334</v>
      </c>
      <c r="B249">
        <v>39.43</v>
      </c>
    </row>
    <row r="250" spans="1:3" x14ac:dyDescent="0.25">
      <c r="A250" t="s">
        <v>335</v>
      </c>
      <c r="B250">
        <v>0.10349999999999999</v>
      </c>
    </row>
    <row r="251" spans="1:3" x14ac:dyDescent="0.25">
      <c r="A251" t="s">
        <v>336</v>
      </c>
      <c r="B251">
        <v>3.1440000000000001</v>
      </c>
    </row>
    <row r="252" spans="1:3" x14ac:dyDescent="0.25">
      <c r="A252" t="s">
        <v>337</v>
      </c>
      <c r="B252">
        <v>30.38</v>
      </c>
    </row>
    <row r="253" spans="1:3" x14ac:dyDescent="0.25">
      <c r="A253" t="s">
        <v>338</v>
      </c>
      <c r="B253">
        <v>0.89459999999999995</v>
      </c>
      <c r="C253" t="s">
        <v>35</v>
      </c>
    </row>
    <row r="254" spans="1:3" x14ac:dyDescent="0.25">
      <c r="A254" t="s">
        <v>339</v>
      </c>
      <c r="B254">
        <v>0.91439999999999999</v>
      </c>
      <c r="C254" t="s">
        <v>35</v>
      </c>
    </row>
    <row r="255" spans="1:3" x14ac:dyDescent="0.25">
      <c r="A255" t="s">
        <v>340</v>
      </c>
      <c r="B255">
        <v>0.48430000000000001</v>
      </c>
      <c r="C255" t="s">
        <v>35</v>
      </c>
    </row>
    <row r="256" spans="1:3" x14ac:dyDescent="0.25">
      <c r="A256" t="s">
        <v>341</v>
      </c>
      <c r="B256">
        <v>1.2190000000000001</v>
      </c>
      <c r="C256" t="s">
        <v>35</v>
      </c>
    </row>
    <row r="257" spans="1:3" x14ac:dyDescent="0.25">
      <c r="A257" t="s">
        <v>342</v>
      </c>
      <c r="B257">
        <v>36660</v>
      </c>
    </row>
    <row r="258" spans="1:3" x14ac:dyDescent="0.25">
      <c r="A258" t="s">
        <v>343</v>
      </c>
      <c r="B258">
        <v>5.52</v>
      </c>
    </row>
    <row r="259" spans="1:3" x14ac:dyDescent="0.25">
      <c r="A259" t="s">
        <v>344</v>
      </c>
      <c r="B259">
        <v>717026</v>
      </c>
      <c r="C259" t="s">
        <v>30</v>
      </c>
    </row>
    <row r="260" spans="1:3" x14ac:dyDescent="0.25">
      <c r="A260" t="s">
        <v>345</v>
      </c>
      <c r="B260">
        <v>832027</v>
      </c>
    </row>
    <row r="261" spans="1:3" x14ac:dyDescent="0.25">
      <c r="A261" t="s">
        <v>346</v>
      </c>
      <c r="B261">
        <v>39732</v>
      </c>
      <c r="C261" t="s">
        <v>30</v>
      </c>
    </row>
    <row r="262" spans="1:3" x14ac:dyDescent="0.25">
      <c r="A262" t="s">
        <v>347</v>
      </c>
      <c r="B262">
        <v>871761</v>
      </c>
      <c r="C262" t="s">
        <v>30</v>
      </c>
    </row>
    <row r="263" spans="1:3" x14ac:dyDescent="0.25">
      <c r="A263" t="s">
        <v>348</v>
      </c>
      <c r="B263">
        <v>0.48</v>
      </c>
    </row>
    <row r="264" spans="1:3" x14ac:dyDescent="0.25">
      <c r="A264" t="s">
        <v>349</v>
      </c>
      <c r="B264">
        <v>109753</v>
      </c>
    </row>
    <row r="265" spans="1:3" x14ac:dyDescent="0.25">
      <c r="A265" t="s">
        <v>350</v>
      </c>
      <c r="B265">
        <v>0.8</v>
      </c>
    </row>
    <row r="266" spans="1:3" x14ac:dyDescent="0.25">
      <c r="A266" t="s">
        <v>351</v>
      </c>
      <c r="B26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Diagram Window</vt:lpstr>
      <vt:lpstr>Equipment Specifications</vt:lpstr>
      <vt:lpstr>Economic Evaluation</vt:lpstr>
      <vt:lpstr>solution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Le</dc:creator>
  <cp:lastModifiedBy>Louis Le</cp:lastModifiedBy>
  <dcterms:created xsi:type="dcterms:W3CDTF">2016-03-02T11:54:58Z</dcterms:created>
  <dcterms:modified xsi:type="dcterms:W3CDTF">2016-04-29T16:57:23Z</dcterms:modified>
</cp:coreProperties>
</file>