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mvn.sharepoint.com/sites/rsm.its.sgn/Shared Documents/General/Form de nghi thanh toan/Ngansach/"/>
    </mc:Choice>
  </mc:AlternateContent>
  <xr:revisionPtr revIDLastSave="1635" documentId="13_ncr:1_{6637945F-8C92-4A60-9E7C-E58B1C8D9372}" xr6:coauthVersionLast="47" xr6:coauthVersionMax="47" xr10:uidLastSave="{54A341C1-26AA-4DBB-BA11-06CF391DCF6A}"/>
  <bookViews>
    <workbookView xWindow="-120" yWindow="-120" windowWidth="24240" windowHeight="13140" activeTab="3" xr2:uid="{1E598817-8B8D-4ED4-9497-9F502D65F85E}"/>
  </bookViews>
  <sheets>
    <sheet name="Total" sheetId="1" r:id="rId1"/>
    <sheet name="Sum A" sheetId="12" r:id="rId2"/>
    <sheet name="Sum" sheetId="8" r:id="rId3"/>
    <sheet name="Detail" sheetId="9" r:id="rId4"/>
    <sheet name="Waranty" sheetId="11" r:id="rId5"/>
    <sheet name="Catalogue" sheetId="6" r:id="rId6"/>
    <sheet name="Dept" sheetId="7" r:id="rId7"/>
    <sheet name="NCC" sheetId="10" r:id="rId8"/>
    <sheet name="IT Budget HCMC" sheetId="5" r:id="rId9"/>
    <sheet name="IT Budget DAN" sheetId="2" r:id="rId10"/>
    <sheet name="IT Budget for Client" sheetId="3" r:id="rId11"/>
  </sheets>
  <externalReferences>
    <externalReference r:id="rId12"/>
    <externalReference r:id="rId13"/>
  </externalReferences>
  <definedNames>
    <definedName name="___xlc_DefaultDisplayOption___" hidden="1">"caption"</definedName>
    <definedName name="___xlc_DisplayNullValues___" hidden="1">TRUE</definedName>
    <definedName name="___xlc_DisplayNullValuesAs___" hidden="1">"___xlc_DisplayNullValuesAs_empty___"</definedName>
    <definedName name="___xlc_PromptForInsertOnDrill___" hidden="1">FALSE</definedName>
    <definedName name="___xlc_SuppressNULLSOnDrill___" hidden="1">TRUE</definedName>
    <definedName name="___xlc_SuppressZerosOnDrill___" hidden="1">FALSE</definedName>
    <definedName name="__DSComments" hidden="1">"First draft of QMS (part of the Bid Manager's Pack)"</definedName>
    <definedName name="__DSCreated" hidden="1">" November 8, 1992"</definedName>
    <definedName name="__DSRevision" hidden="1">1</definedName>
    <definedName name="__DSSubject" hidden="1">"Quotation Management Summary"</definedName>
    <definedName name="__DSTitle" hidden="1">"QMS"</definedName>
    <definedName name="_xlnm._FilterDatabase" localSheetId="3" hidden="1">Detail!$A$1:$Q$249</definedName>
    <definedName name="AccessDatabase" hidden="1">"C:\DATA\Kevin\Kevin's Model.mdb"</definedName>
    <definedName name="BaseFlows">[1]Information!$T$122:$T$124</definedName>
    <definedName name="CompareData">#REF!</definedName>
    <definedName name="CompareHeadingRow">#REF!</definedName>
    <definedName name="CopyFrom">'[2]Fig 13'!$D$9</definedName>
    <definedName name="CopyTo">'[2]Fig 13'!$D$10</definedName>
    <definedName name="CostType">[1]Information!$R$122:$R$123</definedName>
    <definedName name="Decision">[1]Information!$H$122:$H$123</definedName>
    <definedName name="DependancyFormat">#REF!</definedName>
    <definedName name="DisclaimerText">#REF!</definedName>
    <definedName name="Drawdown">[1]Information!$L$122:$L$123</definedName>
    <definedName name="_xlnm.Extract" localSheetId="3">Detail!#REF!</definedName>
    <definedName name="FreqEPIR">[1]Information!$F$122:$F$125</definedName>
    <definedName name="Frequency">[1]Information!$D$122:$D$125</definedName>
    <definedName name="Indices">[1]StaticInputs!$B$34:$B$45</definedName>
    <definedName name="InfoBase">[1]Information!$P$122:$P$123</definedName>
    <definedName name="million">1000000</definedName>
    <definedName name="Month">[1]Information!$C$122:$C$133</definedName>
    <definedName name="OakSummaryHeadingRow">#REF!</definedName>
    <definedName name="RepaymentProfile">[1]Information!$N$122:$N$124</definedName>
    <definedName name="SubReptProfile">[1]Information!$N$127:$N$129</definedName>
    <definedName name="SummaryData">#REF!</definedName>
    <definedName name="SummaryHeading">#REF!</definedName>
    <definedName name="Timeline">[1]Information!$J$122:$J$126</definedName>
    <definedName name="Tolerance">[1]StaticInputs!$C$9</definedName>
    <definedName name="Transfers">[1]Information!$U$122:$U$123</definedName>
    <definedName name="VBA_Log_Description">#REF!</definedName>
    <definedName name="VBA_Log_EnableShortcut">#REF!</definedName>
    <definedName name="VBA_Log_File_name">#REF!</definedName>
    <definedName name="VBA_Log_Full_path">#REF!</definedName>
    <definedName name="VBA_Log_Increment">#REF!</definedName>
    <definedName name="VBA_Log_LastSaveDate">#REF!</definedName>
    <definedName name="VBA_Log_LogStart">#REF!</definedName>
    <definedName name="VBA_Log_short_name">#REF!</definedName>
    <definedName name="VBA_Log_Stub_Name">#REF!</definedName>
    <definedName name="VBA_Log_Vers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32" i="9" l="1"/>
  <c r="K152" i="9"/>
  <c r="M232" i="9"/>
  <c r="M244" i="9"/>
  <c r="M245" i="9"/>
  <c r="M246" i="9"/>
  <c r="M247" i="9"/>
  <c r="M248" i="9"/>
  <c r="M249" i="9"/>
  <c r="M230" i="9"/>
  <c r="M231" i="9"/>
  <c r="M228" i="9"/>
  <c r="M229" i="9"/>
  <c r="M239" i="9"/>
  <c r="M240" i="9"/>
  <c r="M241" i="9"/>
  <c r="M242" i="9"/>
  <c r="M243" i="9"/>
  <c r="M217" i="9"/>
  <c r="M216" i="9"/>
  <c r="M237" i="9"/>
  <c r="M236" i="9"/>
  <c r="M235" i="9"/>
  <c r="M234" i="9"/>
  <c r="M233" i="9"/>
  <c r="M220" i="9"/>
  <c r="M219" i="9"/>
  <c r="M213" i="9"/>
  <c r="M212" i="9"/>
  <c r="M218" i="9"/>
  <c r="M227" i="9"/>
  <c r="M226" i="9"/>
  <c r="M211" i="9"/>
  <c r="M225" i="9"/>
  <c r="I35" i="1"/>
  <c r="N38" i="1"/>
  <c r="O38" i="1"/>
  <c r="N43" i="1"/>
  <c r="O43" i="1"/>
  <c r="M210" i="9"/>
  <c r="M209" i="9"/>
  <c r="M208" i="9"/>
  <c r="M207" i="9"/>
  <c r="M206" i="9"/>
  <c r="M205" i="9"/>
  <c r="M204" i="9"/>
  <c r="M203" i="9"/>
  <c r="M202" i="9"/>
  <c r="M201" i="9"/>
  <c r="M200" i="9"/>
  <c r="M199" i="9"/>
  <c r="M198" i="9"/>
  <c r="M197" i="9"/>
  <c r="M196" i="9"/>
  <c r="M195" i="9"/>
  <c r="M194" i="9"/>
  <c r="M193" i="9"/>
  <c r="M192" i="9"/>
  <c r="M191" i="9"/>
  <c r="M190" i="9"/>
  <c r="M189" i="9"/>
  <c r="M188" i="9"/>
  <c r="M187" i="9"/>
  <c r="M186" i="9"/>
  <c r="M185" i="9"/>
  <c r="M184" i="9"/>
  <c r="M183" i="9"/>
  <c r="M182" i="9"/>
  <c r="M181" i="9"/>
  <c r="M180" i="9"/>
  <c r="M179" i="9"/>
  <c r="M178" i="9"/>
  <c r="M177" i="9"/>
  <c r="M176" i="9"/>
  <c r="M175" i="9"/>
  <c r="M174" i="9"/>
  <c r="M173" i="9"/>
  <c r="M172" i="9"/>
  <c r="M171" i="9"/>
  <c r="M170" i="9"/>
  <c r="M169" i="9"/>
  <c r="M168" i="9"/>
  <c r="M167" i="9"/>
  <c r="M166" i="9"/>
  <c r="M165" i="9"/>
  <c r="M164" i="9"/>
  <c r="M163" i="9"/>
  <c r="M162" i="9"/>
  <c r="M161" i="9"/>
  <c r="M160" i="9"/>
  <c r="M159" i="9"/>
  <c r="M158" i="9"/>
  <c r="M157" i="9"/>
  <c r="M156" i="9"/>
  <c r="M155" i="9"/>
  <c r="M154" i="9"/>
  <c r="M153" i="9"/>
  <c r="M152" i="9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" i="9"/>
  <c r="L18" i="8"/>
  <c r="K18" i="8"/>
  <c r="E18" i="8"/>
  <c r="J18" i="8"/>
  <c r="I18" i="8"/>
  <c r="H18" i="8"/>
  <c r="D18" i="8"/>
  <c r="G18" i="8"/>
  <c r="N18" i="8"/>
  <c r="F18" i="8"/>
  <c r="M18" i="8"/>
  <c r="M37" i="8"/>
  <c r="L37" i="8"/>
  <c r="K37" i="8"/>
  <c r="J37" i="8"/>
  <c r="I37" i="8"/>
  <c r="H37" i="8"/>
  <c r="G37" i="8"/>
  <c r="F37" i="8"/>
  <c r="E37" i="8"/>
  <c r="D37" i="8"/>
  <c r="C37" i="8"/>
  <c r="M36" i="8"/>
  <c r="L36" i="8"/>
  <c r="K36" i="8"/>
  <c r="J36" i="8"/>
  <c r="I36" i="8"/>
  <c r="H36" i="8"/>
  <c r="G36" i="8"/>
  <c r="F36" i="8"/>
  <c r="E36" i="8"/>
  <c r="D36" i="8"/>
  <c r="C36" i="8"/>
  <c r="M35" i="8"/>
  <c r="L35" i="8"/>
  <c r="K35" i="8"/>
  <c r="J35" i="8"/>
  <c r="I35" i="8"/>
  <c r="H35" i="8"/>
  <c r="G35" i="8"/>
  <c r="F35" i="8"/>
  <c r="E35" i="8"/>
  <c r="D35" i="8"/>
  <c r="C35" i="8"/>
  <c r="M34" i="8"/>
  <c r="L34" i="8"/>
  <c r="K34" i="8"/>
  <c r="J34" i="8"/>
  <c r="I34" i="8"/>
  <c r="H34" i="8"/>
  <c r="G34" i="8"/>
  <c r="F34" i="8"/>
  <c r="E34" i="8"/>
  <c r="D34" i="8"/>
  <c r="C34" i="8"/>
  <c r="M33" i="8"/>
  <c r="L33" i="8"/>
  <c r="K33" i="8"/>
  <c r="J33" i="8"/>
  <c r="I33" i="8"/>
  <c r="H33" i="8"/>
  <c r="G33" i="8"/>
  <c r="F33" i="8"/>
  <c r="E33" i="8"/>
  <c r="D33" i="8"/>
  <c r="C33" i="8"/>
  <c r="C32" i="8"/>
  <c r="B32" i="8" s="1"/>
  <c r="M31" i="8"/>
  <c r="L31" i="8"/>
  <c r="K31" i="8"/>
  <c r="J31" i="8"/>
  <c r="I31" i="8"/>
  <c r="H31" i="8"/>
  <c r="G31" i="8"/>
  <c r="F31" i="8"/>
  <c r="E31" i="8"/>
  <c r="D31" i="8"/>
  <c r="C31" i="8"/>
  <c r="M30" i="8"/>
  <c r="L30" i="8"/>
  <c r="K30" i="8"/>
  <c r="J30" i="8"/>
  <c r="I30" i="8"/>
  <c r="H30" i="8"/>
  <c r="G30" i="8"/>
  <c r="F30" i="8"/>
  <c r="E30" i="8"/>
  <c r="D30" i="8"/>
  <c r="C30" i="8"/>
  <c r="M29" i="8"/>
  <c r="L29" i="8"/>
  <c r="K29" i="8"/>
  <c r="J29" i="8"/>
  <c r="I29" i="8"/>
  <c r="H29" i="8"/>
  <c r="G29" i="8"/>
  <c r="F29" i="8"/>
  <c r="E29" i="8"/>
  <c r="D29" i="8"/>
  <c r="C29" i="8"/>
  <c r="M28" i="8"/>
  <c r="L28" i="8"/>
  <c r="K28" i="8"/>
  <c r="J28" i="8"/>
  <c r="I28" i="8"/>
  <c r="H28" i="8"/>
  <c r="G28" i="8"/>
  <c r="F28" i="8"/>
  <c r="E28" i="8"/>
  <c r="D28" i="8"/>
  <c r="C28" i="8"/>
  <c r="C27" i="8"/>
  <c r="M26" i="8"/>
  <c r="L26" i="8"/>
  <c r="K26" i="8"/>
  <c r="J26" i="8"/>
  <c r="I26" i="8"/>
  <c r="H26" i="8"/>
  <c r="G26" i="8"/>
  <c r="F26" i="8"/>
  <c r="E26" i="8"/>
  <c r="D26" i="8"/>
  <c r="C26" i="8"/>
  <c r="M25" i="8"/>
  <c r="L25" i="8"/>
  <c r="K25" i="8"/>
  <c r="J25" i="8"/>
  <c r="I25" i="8"/>
  <c r="H25" i="8"/>
  <c r="G25" i="8"/>
  <c r="F25" i="8"/>
  <c r="E25" i="8"/>
  <c r="D25" i="8"/>
  <c r="C25" i="8"/>
  <c r="M24" i="8"/>
  <c r="L24" i="8"/>
  <c r="K24" i="8"/>
  <c r="J24" i="8"/>
  <c r="I24" i="8"/>
  <c r="H24" i="8"/>
  <c r="G24" i="8"/>
  <c r="F24" i="8"/>
  <c r="E24" i="8"/>
  <c r="D24" i="8"/>
  <c r="C24" i="8"/>
  <c r="M23" i="8"/>
  <c r="L23" i="8"/>
  <c r="K23" i="8"/>
  <c r="J23" i="8"/>
  <c r="I23" i="8"/>
  <c r="H23" i="8"/>
  <c r="G23" i="8"/>
  <c r="F23" i="8"/>
  <c r="E23" i="8"/>
  <c r="D23" i="8"/>
  <c r="C23" i="8"/>
  <c r="M22" i="8"/>
  <c r="L22" i="8"/>
  <c r="K22" i="8"/>
  <c r="J22" i="8"/>
  <c r="I22" i="8"/>
  <c r="H22" i="8"/>
  <c r="G22" i="8"/>
  <c r="F22" i="8"/>
  <c r="E22" i="8"/>
  <c r="D22" i="8"/>
  <c r="C22" i="8"/>
  <c r="N21" i="8"/>
  <c r="M21" i="8"/>
  <c r="L21" i="8"/>
  <c r="K21" i="8"/>
  <c r="J21" i="8"/>
  <c r="I21" i="8"/>
  <c r="H21" i="8"/>
  <c r="G21" i="8"/>
  <c r="F21" i="8"/>
  <c r="E21" i="8"/>
  <c r="D21" i="8"/>
  <c r="C21" i="8"/>
  <c r="N20" i="8"/>
  <c r="M20" i="8"/>
  <c r="L20" i="8"/>
  <c r="K20" i="8"/>
  <c r="J20" i="8"/>
  <c r="I20" i="8"/>
  <c r="H20" i="8"/>
  <c r="G20" i="8"/>
  <c r="F20" i="8"/>
  <c r="E20" i="8"/>
  <c r="D20" i="8"/>
  <c r="C20" i="8"/>
  <c r="N19" i="8"/>
  <c r="M19" i="8"/>
  <c r="L19" i="8"/>
  <c r="K19" i="8"/>
  <c r="J19" i="8"/>
  <c r="I19" i="8"/>
  <c r="H19" i="8"/>
  <c r="G19" i="8"/>
  <c r="F19" i="8"/>
  <c r="E19" i="8"/>
  <c r="D19" i="8"/>
  <c r="C19" i="8"/>
  <c r="C18" i="8"/>
  <c r="N17" i="8"/>
  <c r="M17" i="8"/>
  <c r="L17" i="8"/>
  <c r="K17" i="8"/>
  <c r="J17" i="8"/>
  <c r="I17" i="8"/>
  <c r="H17" i="8"/>
  <c r="G17" i="8"/>
  <c r="F17" i="8"/>
  <c r="E17" i="8"/>
  <c r="D17" i="8"/>
  <c r="C17" i="8"/>
  <c r="N16" i="8"/>
  <c r="M16" i="8"/>
  <c r="L16" i="8"/>
  <c r="K16" i="8"/>
  <c r="J16" i="8"/>
  <c r="I16" i="8"/>
  <c r="H16" i="8"/>
  <c r="G16" i="8"/>
  <c r="F16" i="8"/>
  <c r="E16" i="8"/>
  <c r="D16" i="8"/>
  <c r="C16" i="8"/>
  <c r="N15" i="8"/>
  <c r="M15" i="8"/>
  <c r="L15" i="8"/>
  <c r="K15" i="8"/>
  <c r="J15" i="8"/>
  <c r="I15" i="8"/>
  <c r="H15" i="8"/>
  <c r="G15" i="8"/>
  <c r="F15" i="8"/>
  <c r="E15" i="8"/>
  <c r="D15" i="8"/>
  <c r="C15" i="8"/>
  <c r="N14" i="8"/>
  <c r="M14" i="8"/>
  <c r="L14" i="8"/>
  <c r="K14" i="8"/>
  <c r="J14" i="8"/>
  <c r="I14" i="8"/>
  <c r="H14" i="8"/>
  <c r="G14" i="8"/>
  <c r="F14" i="8"/>
  <c r="E14" i="8"/>
  <c r="D14" i="8"/>
  <c r="C14" i="8"/>
  <c r="N13" i="8"/>
  <c r="M13" i="8"/>
  <c r="L13" i="8"/>
  <c r="K13" i="8"/>
  <c r="J13" i="8"/>
  <c r="I13" i="8"/>
  <c r="H13" i="8"/>
  <c r="G13" i="8"/>
  <c r="F13" i="8"/>
  <c r="E13" i="8"/>
  <c r="D13" i="8"/>
  <c r="C13" i="8"/>
  <c r="N12" i="8"/>
  <c r="M12" i="8"/>
  <c r="L12" i="8"/>
  <c r="K12" i="8"/>
  <c r="J12" i="8"/>
  <c r="I12" i="8"/>
  <c r="H12" i="8"/>
  <c r="G12" i="8"/>
  <c r="F12" i="8"/>
  <c r="E12" i="8"/>
  <c r="D12" i="8"/>
  <c r="C12" i="8"/>
  <c r="C11" i="8"/>
  <c r="N10" i="8"/>
  <c r="M10" i="8"/>
  <c r="L10" i="8"/>
  <c r="K10" i="8"/>
  <c r="J10" i="8"/>
  <c r="I10" i="8"/>
  <c r="H10" i="8"/>
  <c r="G10" i="8"/>
  <c r="F10" i="8"/>
  <c r="E10" i="8"/>
  <c r="D10" i="8"/>
  <c r="C10" i="8"/>
  <c r="N9" i="8"/>
  <c r="M9" i="8"/>
  <c r="L9" i="8"/>
  <c r="K9" i="8"/>
  <c r="J9" i="8"/>
  <c r="I9" i="8"/>
  <c r="H9" i="8"/>
  <c r="G9" i="8"/>
  <c r="F9" i="8"/>
  <c r="E9" i="8"/>
  <c r="D9" i="8"/>
  <c r="C9" i="8"/>
  <c r="N8" i="8"/>
  <c r="M8" i="8"/>
  <c r="L8" i="8"/>
  <c r="K8" i="8"/>
  <c r="J8" i="8"/>
  <c r="I8" i="8"/>
  <c r="H8" i="8"/>
  <c r="G8" i="8"/>
  <c r="F8" i="8"/>
  <c r="E8" i="8"/>
  <c r="D8" i="8"/>
  <c r="C8" i="8"/>
  <c r="N7" i="8"/>
  <c r="M7" i="8"/>
  <c r="L7" i="8"/>
  <c r="K7" i="8"/>
  <c r="J7" i="8"/>
  <c r="I7" i="8"/>
  <c r="H7" i="8"/>
  <c r="G7" i="8"/>
  <c r="F7" i="8"/>
  <c r="E7" i="8"/>
  <c r="D7" i="8"/>
  <c r="C7" i="8"/>
  <c r="N6" i="8"/>
  <c r="M6" i="8"/>
  <c r="L6" i="8"/>
  <c r="K6" i="8"/>
  <c r="J6" i="8"/>
  <c r="I6" i="8"/>
  <c r="H6" i="8"/>
  <c r="G6" i="8"/>
  <c r="F6" i="8"/>
  <c r="E6" i="8"/>
  <c r="D6" i="8"/>
  <c r="C6" i="8"/>
  <c r="N5" i="8"/>
  <c r="M5" i="8"/>
  <c r="L5" i="8"/>
  <c r="K5" i="8"/>
  <c r="J5" i="8"/>
  <c r="I5" i="8"/>
  <c r="H5" i="8"/>
  <c r="G5" i="8"/>
  <c r="F5" i="8"/>
  <c r="E5" i="8"/>
  <c r="D5" i="8"/>
  <c r="C5" i="8"/>
  <c r="N4" i="8"/>
  <c r="M4" i="8"/>
  <c r="L4" i="8"/>
  <c r="K4" i="8"/>
  <c r="J4" i="8"/>
  <c r="I4" i="8"/>
  <c r="H4" i="8"/>
  <c r="G4" i="8"/>
  <c r="F4" i="8"/>
  <c r="E4" i="8"/>
  <c r="D4" i="8"/>
  <c r="C4" i="8"/>
  <c r="N3" i="8"/>
  <c r="M3" i="8"/>
  <c r="L3" i="8"/>
  <c r="K3" i="8"/>
  <c r="J3" i="8"/>
  <c r="I3" i="8"/>
  <c r="H3" i="8"/>
  <c r="G3" i="8"/>
  <c r="F3" i="8"/>
  <c r="E3" i="8"/>
  <c r="D3" i="8"/>
  <c r="C3" i="8"/>
  <c r="J37" i="1"/>
  <c r="C5" i="12"/>
  <c r="J23" i="1"/>
  <c r="C3" i="12"/>
  <c r="I41" i="1"/>
  <c r="I42" i="1"/>
  <c r="O37" i="1"/>
  <c r="B34" i="8"/>
  <c r="N39" i="1" s="1"/>
  <c r="P39" i="1" s="1"/>
  <c r="B35" i="8"/>
  <c r="N40" i="1" s="1"/>
  <c r="I20" i="1"/>
  <c r="I21" i="1"/>
  <c r="I22" i="1"/>
  <c r="I24" i="1"/>
  <c r="I25" i="1"/>
  <c r="I26" i="1"/>
  <c r="I27" i="1"/>
  <c r="I28" i="1"/>
  <c r="I29" i="1"/>
  <c r="I30" i="1"/>
  <c r="I31" i="1"/>
  <c r="I36" i="1"/>
  <c r="I37" i="1"/>
  <c r="P37" i="1"/>
  <c r="I38" i="1"/>
  <c r="I39" i="1"/>
  <c r="I40" i="1"/>
  <c r="H34" i="5"/>
  <c r="H31" i="5"/>
  <c r="G31" i="5"/>
  <c r="F31" i="5"/>
  <c r="E31" i="5"/>
  <c r="D31" i="5"/>
  <c r="C31" i="5"/>
  <c r="C30" i="5"/>
  <c r="D26" i="5"/>
  <c r="D23" i="5"/>
  <c r="C24" i="5"/>
  <c r="H23" i="5"/>
  <c r="G23" i="5"/>
  <c r="F23" i="5"/>
  <c r="E23" i="5"/>
  <c r="K22" i="5"/>
  <c r="C20" i="5"/>
  <c r="H19" i="5"/>
  <c r="H18" i="5"/>
  <c r="C18" i="5"/>
  <c r="H17" i="5"/>
  <c r="C17" i="5"/>
  <c r="C16" i="5"/>
  <c r="H16" i="5"/>
  <c r="G16" i="5"/>
  <c r="F16" i="5"/>
  <c r="E16" i="5"/>
  <c r="D16" i="5"/>
  <c r="H15" i="5"/>
  <c r="H7" i="5"/>
  <c r="D11" i="5"/>
  <c r="C11" i="5"/>
  <c r="C7" i="5"/>
  <c r="D9" i="5"/>
  <c r="E7" i="5"/>
  <c r="D7" i="5"/>
  <c r="C23" i="5"/>
  <c r="G42" i="5"/>
  <c r="C42" i="5"/>
  <c r="E42" i="5"/>
  <c r="H42" i="5"/>
  <c r="F42" i="5"/>
  <c r="O23" i="1"/>
  <c r="K23" i="1"/>
  <c r="K37" i="1"/>
  <c r="K32" i="1"/>
  <c r="J32" i="1"/>
  <c r="C4" i="12"/>
  <c r="P38" i="1"/>
  <c r="D42" i="5"/>
  <c r="H10" i="2"/>
  <c r="H9" i="2"/>
  <c r="H35" i="1"/>
  <c r="O32" i="1"/>
  <c r="P32" i="1"/>
  <c r="H15" i="1"/>
  <c r="J7" i="1"/>
  <c r="O7" i="1"/>
  <c r="H18" i="1"/>
  <c r="I18" i="1"/>
  <c r="H19" i="1"/>
  <c r="I19" i="1"/>
  <c r="H17" i="1"/>
  <c r="H9" i="3"/>
  <c r="G9" i="3"/>
  <c r="F9" i="3"/>
  <c r="E9" i="3"/>
  <c r="H13" i="2"/>
  <c r="G13" i="2"/>
  <c r="F13" i="2"/>
  <c r="E13" i="2"/>
  <c r="H8" i="2"/>
  <c r="G8" i="2"/>
  <c r="F8" i="2"/>
  <c r="E8" i="2"/>
  <c r="G32" i="1"/>
  <c r="F32" i="1"/>
  <c r="E32" i="1"/>
  <c r="D32" i="1"/>
  <c r="C32" i="1"/>
  <c r="C30" i="1"/>
  <c r="D26" i="1"/>
  <c r="D23" i="1"/>
  <c r="C24" i="1"/>
  <c r="G23" i="1"/>
  <c r="F23" i="1"/>
  <c r="E23" i="1"/>
  <c r="C20" i="1"/>
  <c r="C18" i="1"/>
  <c r="C17" i="1"/>
  <c r="G16" i="1"/>
  <c r="F16" i="1"/>
  <c r="E16" i="1"/>
  <c r="D16" i="1"/>
  <c r="D11" i="1"/>
  <c r="C11" i="1"/>
  <c r="C7" i="1"/>
  <c r="D9" i="1"/>
  <c r="E7" i="1"/>
  <c r="K7" i="1"/>
  <c r="C1" i="12"/>
  <c r="J16" i="1"/>
  <c r="I17" i="1"/>
  <c r="K16" i="1"/>
  <c r="P23" i="1"/>
  <c r="H12" i="3"/>
  <c r="E12" i="3"/>
  <c r="F12" i="3"/>
  <c r="G12" i="3"/>
  <c r="C12" i="3"/>
  <c r="D7" i="1"/>
  <c r="D44" i="1"/>
  <c r="E20" i="2"/>
  <c r="H20" i="2"/>
  <c r="G20" i="2"/>
  <c r="F20" i="2"/>
  <c r="D20" i="2"/>
  <c r="C23" i="1"/>
  <c r="C16" i="1"/>
  <c r="F44" i="1"/>
  <c r="E44" i="1"/>
  <c r="G44" i="1"/>
  <c r="C2" i="12"/>
  <c r="O16" i="1"/>
  <c r="I44" i="1"/>
  <c r="C44" i="1"/>
  <c r="C20" i="2"/>
  <c r="O44" i="1"/>
  <c r="P44" i="1"/>
  <c r="P16" i="1"/>
  <c r="B29" i="8" l="1"/>
  <c r="N34" i="1" s="1"/>
  <c r="O34" i="1" s="1"/>
  <c r="B26" i="8"/>
  <c r="N31" i="1" s="1"/>
  <c r="P31" i="1" s="1"/>
  <c r="B28" i="8"/>
  <c r="N33" i="1" s="1"/>
  <c r="O33" i="1" s="1"/>
  <c r="B30" i="8"/>
  <c r="N35" i="1" s="1"/>
  <c r="P35" i="1" s="1"/>
  <c r="B31" i="8"/>
  <c r="N36" i="1" s="1"/>
  <c r="P36" i="1" s="1"/>
  <c r="B36" i="8"/>
  <c r="N41" i="1" s="1"/>
  <c r="O41" i="1" s="1"/>
  <c r="B37" i="8"/>
  <c r="N42" i="1" s="1"/>
  <c r="P42" i="1" s="1"/>
  <c r="B25" i="8"/>
  <c r="N30" i="1" s="1"/>
  <c r="O30" i="1" s="1"/>
  <c r="B13" i="8"/>
  <c r="N18" i="1" s="1"/>
  <c r="P18" i="1" s="1"/>
  <c r="B19" i="8"/>
  <c r="N24" i="1" s="1"/>
  <c r="B17" i="8"/>
  <c r="N22" i="1" s="1"/>
  <c r="P22" i="1" s="1"/>
  <c r="B20" i="8"/>
  <c r="N25" i="1" s="1"/>
  <c r="O25" i="1" s="1"/>
  <c r="B21" i="8"/>
  <c r="N26" i="1" s="1"/>
  <c r="O26" i="1" s="1"/>
  <c r="B22" i="8"/>
  <c r="N27" i="1" s="1"/>
  <c r="P27" i="1" s="1"/>
  <c r="B23" i="8"/>
  <c r="N28" i="1" s="1"/>
  <c r="O28" i="1" s="1"/>
  <c r="B24" i="8"/>
  <c r="N29" i="1" s="1"/>
  <c r="O29" i="1" s="1"/>
  <c r="B7" i="8"/>
  <c r="N12" i="1" s="1"/>
  <c r="P12" i="1" s="1"/>
  <c r="B14" i="8"/>
  <c r="N19" i="1" s="1"/>
  <c r="O19" i="1" s="1"/>
  <c r="B15" i="8"/>
  <c r="N20" i="1" s="1"/>
  <c r="P20" i="1" s="1"/>
  <c r="B9" i="8"/>
  <c r="N14" i="1" s="1"/>
  <c r="P14" i="1" s="1"/>
  <c r="B10" i="8"/>
  <c r="N15" i="1" s="1"/>
  <c r="P15" i="1" s="1"/>
  <c r="B12" i="8"/>
  <c r="N17" i="1" s="1"/>
  <c r="B4" i="8"/>
  <c r="N9" i="1" s="1"/>
  <c r="O9" i="1" s="1"/>
  <c r="B6" i="8"/>
  <c r="N11" i="1" s="1"/>
  <c r="P11" i="1" s="1"/>
  <c r="B8" i="8"/>
  <c r="N13" i="1" s="1"/>
  <c r="O13" i="1" s="1"/>
  <c r="B16" i="8"/>
  <c r="O42" i="1"/>
  <c r="B5" i="8"/>
  <c r="N10" i="1" s="1"/>
  <c r="O10" i="1" s="1"/>
  <c r="O40" i="1"/>
  <c r="P40" i="1"/>
  <c r="P34" i="1"/>
  <c r="O39" i="1"/>
  <c r="O27" i="1"/>
  <c r="B3" i="8"/>
  <c r="N8" i="1" s="1"/>
  <c r="O8" i="1" s="1"/>
  <c r="P28" i="1"/>
  <c r="P13" i="1"/>
  <c r="P41" i="1"/>
  <c r="O22" i="1"/>
  <c r="P30" i="1" l="1"/>
  <c r="O36" i="1"/>
  <c r="O15" i="1"/>
  <c r="P33" i="1"/>
  <c r="O31" i="1"/>
  <c r="B27" i="8"/>
  <c r="P19" i="1"/>
  <c r="P29" i="1"/>
  <c r="B5" i="12"/>
  <c r="O35" i="1"/>
  <c r="O18" i="1"/>
  <c r="B4" i="12"/>
  <c r="D4" i="12" s="1"/>
  <c r="O20" i="1"/>
  <c r="B2" i="12"/>
  <c r="D2" i="12" s="1"/>
  <c r="O12" i="1"/>
  <c r="B11" i="8"/>
  <c r="P25" i="1"/>
  <c r="O14" i="1"/>
  <c r="P26" i="1"/>
  <c r="B18" i="8"/>
  <c r="B3" i="12" s="1"/>
  <c r="D3" i="12" s="1"/>
  <c r="O11" i="1"/>
  <c r="P10" i="1"/>
  <c r="P9" i="1"/>
  <c r="N21" i="1"/>
  <c r="B2" i="8"/>
  <c r="B1" i="12"/>
  <c r="D1" i="12" s="1"/>
  <c r="P24" i="1"/>
  <c r="O24" i="1"/>
  <c r="P17" i="1"/>
  <c r="Q17" i="1" s="1"/>
  <c r="O17" i="1"/>
  <c r="O21" i="1" l="1"/>
  <c r="P21" i="1"/>
  <c r="Q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phuc</author>
  </authors>
  <commentList>
    <comment ref="O67" authorId="0" shapeId="0" xr:uid="{971F34D2-C1BA-49FF-BEA0-FB318B8B33E8}">
      <text>
        <r>
          <rPr>
            <b/>
            <sz val="9"/>
            <color indexed="81"/>
            <rFont val="Tahoma"/>
            <family val="2"/>
          </rPr>
          <t>phuc: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<sst xmlns="http://schemas.openxmlformats.org/spreadsheetml/2006/main" count="2898" uniqueCount="559">
  <si>
    <t>2021/2022 BUDGET</t>
  </si>
  <si>
    <t>Last year</t>
  </si>
  <si>
    <t>2021/2022</t>
  </si>
  <si>
    <t>Budget</t>
  </si>
  <si>
    <t xml:space="preserve">Actual Position </t>
  </si>
  <si>
    <t>Estimate/Actuals
whole year</t>
  </si>
  <si>
    <t>Budget Forecast</t>
  </si>
  <si>
    <t>Quantity</t>
  </si>
  <si>
    <t xml:space="preserve">Unit Price </t>
  </si>
  <si>
    <t>Amount</t>
  </si>
  <si>
    <t>Amount (VAT)</t>
  </si>
  <si>
    <t>Cost center</t>
  </si>
  <si>
    <t>Note</t>
  </si>
  <si>
    <t xml:space="preserve">Have use to </t>
  </si>
  <si>
    <r>
      <t xml:space="preserve">Number of staff/ </t>
    </r>
    <r>
      <rPr>
        <b/>
        <sz val="10"/>
        <color theme="9" tint="-0.249977111117893"/>
        <rFont val="Arial"/>
        <family val="2"/>
      </rPr>
      <t>Số lượng nhân viên</t>
    </r>
  </si>
  <si>
    <t>Sub Unit</t>
  </si>
  <si>
    <t>Unit</t>
  </si>
  <si>
    <t>Processing</t>
  </si>
  <si>
    <t>% Loading</t>
  </si>
  <si>
    <t>Còn lại</t>
  </si>
  <si>
    <t>bổ sung sung</t>
  </si>
  <si>
    <t>Điều chỉnh</t>
  </si>
  <si>
    <r>
      <t>Software license/</t>
    </r>
    <r>
      <rPr>
        <b/>
        <sz val="10"/>
        <color theme="9" tint="-0.249977111117893"/>
        <rFont val="Arial"/>
        <family val="2"/>
      </rPr>
      <t>Bản quyền phần mềm</t>
    </r>
  </si>
  <si>
    <r>
      <t xml:space="preserve">ORB/ </t>
    </r>
    <r>
      <rPr>
        <sz val="10"/>
        <color rgb="FF00B050"/>
        <rFont val="Arial"/>
        <family val="2"/>
      </rPr>
      <t>Phần mềm kiểm toán</t>
    </r>
  </si>
  <si>
    <t>Audit</t>
  </si>
  <si>
    <t>Renewal of 90 licences
Purchase of 15 licences
Total 41.520 usd</t>
  </si>
  <si>
    <t>Không điều chỉnh</t>
  </si>
  <si>
    <r>
      <t xml:space="preserve">CRM/ </t>
    </r>
    <r>
      <rPr>
        <sz val="10"/>
        <color rgb="FF00B0F0"/>
        <rFont val="Arial"/>
        <family val="2"/>
      </rPr>
      <t>Phần mềm quản lý khách hàng</t>
    </r>
  </si>
  <si>
    <t>HCMC</t>
  </si>
  <si>
    <t>2 tài khoản quản trị, 35 tài khoản nhập liệu</t>
  </si>
  <si>
    <r>
      <t xml:space="preserve">Windown 10 Operation / </t>
    </r>
    <r>
      <rPr>
        <sz val="10"/>
        <color rgb="FF00B0F0"/>
        <rFont val="Arial"/>
        <family val="2"/>
      </rPr>
      <t>Hệ điều hành Microsoft Windows</t>
    </r>
  </si>
  <si>
    <t>HCMC&amp;DAN</t>
  </si>
  <si>
    <t>Nếu Micorosft Vietnam liên hệ yêu cầu sẽ thực hiện khoản này, dự kiến tháng 12/2021</t>
  </si>
  <si>
    <t>Chuyển về nội dung MS 365</t>
  </si>
  <si>
    <r>
      <t>MS 365/ P</t>
    </r>
    <r>
      <rPr>
        <sz val="10"/>
        <color theme="9" tint="-0.249977111117893"/>
        <rFont val="Arial"/>
        <family val="2"/>
      </rPr>
      <t>hần mềm MS 365</t>
    </r>
  </si>
  <si>
    <r>
      <t xml:space="preserve">Office 365/ </t>
    </r>
    <r>
      <rPr>
        <sz val="10"/>
        <color theme="9" tint="-0.249977111117893"/>
        <rFont val="Arial"/>
        <family val="2"/>
      </rPr>
      <t>Phần mềm Office 365</t>
    </r>
  </si>
  <si>
    <t>15 box</t>
  </si>
  <si>
    <t>Bộ công cụ Office cài tại laptop</t>
  </si>
  <si>
    <t>Creative Cloud/ phần mềm đồ họa</t>
  </si>
  <si>
    <t>MBS</t>
  </si>
  <si>
    <t>Phần mềm thiết kế đồ họa</t>
  </si>
  <si>
    <t>Research information legal (thư viện pháp luật, luật vietnam.vn , luat vietnam.vn)</t>
  </si>
  <si>
    <t>Tổng cộng 3 nhà cung cấp dịch vụ</t>
  </si>
  <si>
    <t>Other tool: Pdf,Zoom…</t>
  </si>
  <si>
    <t>Điều chỉnh tăng nhưng không đáng kể</t>
  </si>
  <si>
    <r>
      <t>IT Equipment for end user/</t>
    </r>
    <r>
      <rPr>
        <b/>
        <sz val="10"/>
        <color theme="9" tint="-0.249977111117893"/>
        <rFont val="Arial"/>
        <family val="2"/>
      </rPr>
      <t xml:space="preserve"> Thiết bị tin học</t>
    </r>
  </si>
  <si>
    <t>Laptop/PC</t>
  </si>
  <si>
    <t>Điều chỉnh tăng 10% trên số còn lại</t>
  </si>
  <si>
    <r>
      <t xml:space="preserve">Printer/ </t>
    </r>
    <r>
      <rPr>
        <sz val="10"/>
        <color theme="9" tint="-0.249977111117893"/>
        <rFont val="Arial"/>
        <family val="2"/>
      </rPr>
      <t>Máy in</t>
    </r>
  </si>
  <si>
    <t>Audit:4, Tax: 5</t>
  </si>
  <si>
    <r>
      <t xml:space="preserve">Scaner potable/ </t>
    </r>
    <r>
      <rPr>
        <sz val="10"/>
        <color theme="9" tint="-0.249977111117893"/>
        <rFont val="Arial"/>
        <family val="2"/>
      </rPr>
      <t>Máy scan</t>
    </r>
  </si>
  <si>
    <t>Tax</t>
  </si>
  <si>
    <t>G1 vs G5</t>
  </si>
  <si>
    <t>Mutilmedia: Televison, Video confernernen/ thiết bị phục vụ họp/ hội thảo trực tuyến</t>
  </si>
  <si>
    <t>Thay thế máy chiếu bằng tivi 70 inch + bộ họp trực tuyến</t>
  </si>
  <si>
    <t>IT equipment rental (short-term)</t>
  </si>
  <si>
    <t>Thuê laptop cho 60 nhân viên thực tập trong vòng 4 tháng</t>
  </si>
  <si>
    <t>Điều chỉnh tăng 2 lần trên số còn lại</t>
  </si>
  <si>
    <r>
      <t xml:space="preserve">Replacement Peripherals/ Maintenance and repair for end user/  </t>
    </r>
    <r>
      <rPr>
        <sz val="10"/>
        <color theme="9" tint="-0.249977111117893"/>
        <rFont val="Arial"/>
        <family val="2"/>
      </rPr>
      <t>Thiết bị ngoại vi thay thế/ Bảo trì và sửa chữa dành cho người dùng cuối</t>
    </r>
  </si>
  <si>
    <t xml:space="preserve">Sạc, chuột, cáp tín hiệu, các loại hư hỏng phần cứng laptop, màn hình, sữa chữa thiết bị máy in </t>
  </si>
  <si>
    <t>Điều chỉnh tăng thêm 40.000.000</t>
  </si>
  <si>
    <r>
      <t>Operation, Maintenance for System Information /</t>
    </r>
    <r>
      <rPr>
        <b/>
        <sz val="10"/>
        <color theme="9" tint="-0.249977111117893"/>
        <rFont val="Arial"/>
        <family val="2"/>
      </rPr>
      <t xml:space="preserve"> Duy trì hoạt động, bảo trì bảo dưỡng</t>
    </r>
  </si>
  <si>
    <r>
      <t xml:space="preserve">Server/ </t>
    </r>
    <r>
      <rPr>
        <sz val="10"/>
        <color theme="9" tint="-0.249977111117893"/>
        <rFont val="Arial"/>
        <family val="2"/>
      </rPr>
      <t>Worksation/ máy chủ, máy trạm</t>
    </r>
  </si>
  <si>
    <t>Thay thế Computer lưu trữ dữ liệu ra vào cửa, quản lý mã, cước điện thoại đã sử dụng hơn 12 năm</t>
  </si>
  <si>
    <r>
      <t xml:space="preserve"> Internet/ </t>
    </r>
    <r>
      <rPr>
        <sz val="10"/>
        <color theme="9" tint="-0.249977111117893"/>
        <rFont val="Arial"/>
        <family val="2"/>
      </rPr>
      <t>Đường truyền</t>
    </r>
  </si>
  <si>
    <r>
      <t xml:space="preserve">Server mail PA. Hosting,Certificate SSL/ </t>
    </r>
    <r>
      <rPr>
        <sz val="10"/>
        <color theme="9" tint="-0.249977111117893"/>
        <rFont val="Arial"/>
        <family val="2"/>
      </rPr>
      <t>Server mail, tên miền</t>
    </r>
  </si>
  <si>
    <t>Firm</t>
  </si>
  <si>
    <t>Voice IP sevice &amp; fee monthly</t>
  </si>
  <si>
    <t>Camera/ Sensor/ Alert/ Security</t>
  </si>
  <si>
    <t>Lắp tại cửa ra vào văn phòng Vạn Lợi</t>
  </si>
  <si>
    <t>VPS/ Cloud Server</t>
  </si>
  <si>
    <t>Cài đặt các dịch vụ của phòng IT và dịch vụ khách hàng</t>
  </si>
  <si>
    <r>
      <t xml:space="preserve">Replacement Peripherals/ Maintenance and repair </t>
    </r>
    <r>
      <rPr>
        <sz val="10"/>
        <color theme="9" tint="-0.249977111117893"/>
        <rFont val="Arial"/>
        <family val="2"/>
      </rPr>
      <t>Thiết bị ngoại vi thay thế/ Bảo trì và sửa chữa dành cho hệ thống</t>
    </r>
  </si>
  <si>
    <t>Các thiết bị hiện hữu</t>
  </si>
  <si>
    <t>Outsource</t>
  </si>
  <si>
    <r>
      <t>Information security /</t>
    </r>
    <r>
      <rPr>
        <b/>
        <sz val="10"/>
        <color theme="9" tint="-0.249977111117893"/>
        <rFont val="Arial"/>
        <family val="2"/>
      </rPr>
      <t>Bảo mật và an toàn thông tin</t>
    </r>
  </si>
  <si>
    <r>
      <t xml:space="preserve">Endpoint secrity/ </t>
    </r>
    <r>
      <rPr>
        <sz val="10"/>
        <color theme="9" tint="-0.249977111117893"/>
        <rFont val="Arial"/>
        <family val="2"/>
      </rPr>
      <t>Bảo vệ và mã hóa dữ liệu</t>
    </r>
  </si>
  <si>
    <t>Thời hạn sử dụng phần mềm: 10/03/2024</t>
  </si>
  <si>
    <t>Đã thực hiện xong</t>
  </si>
  <si>
    <r>
      <t xml:space="preserve">Pentest vs Report/ </t>
    </r>
    <r>
      <rPr>
        <sz val="10"/>
        <color theme="9" tint="-0.249977111117893"/>
        <rFont val="Arial"/>
        <family val="2"/>
      </rPr>
      <t>Kiểm thử hệ thống mạng</t>
    </r>
  </si>
  <si>
    <t>Chưa thực hiện trong niên độ này</t>
  </si>
  <si>
    <t>Đã thực hiện xong theo chương trình hỗ trợ DN của FPT</t>
  </si>
  <si>
    <r>
      <t xml:space="preserve">ISO 27001/ </t>
    </r>
    <r>
      <rPr>
        <sz val="10"/>
        <color theme="9" tint="-0.249977111117893"/>
        <rFont val="Arial"/>
        <family val="2"/>
      </rPr>
      <t>An ninh thông tin ISO 27001</t>
    </r>
  </si>
  <si>
    <t>Nếu chưa đạt chứng chỉ ISO thì chưa tính khoản này</t>
  </si>
  <si>
    <t>DR Site/Backup/High Availble/ Trung tâm khắc phục thảm hoạ, sao lưu dữ liệu/ tính sẵn sàng</t>
  </si>
  <si>
    <t>Theo yêu cầu từ RSM Global: Triển khai và test DR site tối thiểu hàng năm</t>
  </si>
  <si>
    <r>
      <t>Digital Tranformer /</t>
    </r>
    <r>
      <rPr>
        <b/>
        <sz val="10"/>
        <color theme="9" tint="-0.249977111117893"/>
        <rFont val="Arial"/>
        <family val="2"/>
      </rPr>
      <t>Chuyển đổi số</t>
    </r>
  </si>
  <si>
    <t>ERP/ Phần mềm quản trị doanh nghiệp</t>
  </si>
  <si>
    <t>Chưa chốt phương án</t>
  </si>
  <si>
    <t>HRM/ Phần mềm quản lý nhân sự</t>
  </si>
  <si>
    <r>
      <t xml:space="preserve">Acc&amp;Fni/ </t>
    </r>
    <r>
      <rPr>
        <sz val="10"/>
        <color theme="9" tint="-0.249977111117893"/>
        <rFont val="Arial"/>
        <family val="2"/>
      </rPr>
      <t>Phần mềm kế toán, quản trị tài chính</t>
    </r>
  </si>
  <si>
    <t>LD, LMS/ phần mềm đào tạo trực tuyến/ quản lý đào tạo</t>
  </si>
  <si>
    <t>Đang thử nghiệm các gói phần mềm</t>
  </si>
  <si>
    <t>7.690 USD ( Moodle )</t>
  </si>
  <si>
    <t>Điều chỉnh bổ sung, chờ quyết định.</t>
  </si>
  <si>
    <t>Quản lý hợp đồng/ ký số điện tử</t>
  </si>
  <si>
    <t>Điều chỉnh bổ sung</t>
  </si>
  <si>
    <t>CRM Develop</t>
  </si>
  <si>
    <r>
      <t>Total/</t>
    </r>
    <r>
      <rPr>
        <b/>
        <sz val="10"/>
        <color theme="9" tint="-0.249977111117893"/>
        <rFont val="Arial"/>
        <family val="2"/>
      </rPr>
      <t xml:space="preserve"> Tổng cộng</t>
    </r>
  </si>
  <si>
    <t>Tháng</t>
  </si>
  <si>
    <t>STT</t>
  </si>
  <si>
    <t>Thiết bị</t>
  </si>
  <si>
    <t>Mẫu laptop</t>
  </si>
  <si>
    <t>Mã thiết bị</t>
  </si>
  <si>
    <t>Thông số kỹ thuật</t>
  </si>
  <si>
    <t>User</t>
  </si>
  <si>
    <t>Dept</t>
  </si>
  <si>
    <t>No</t>
  </si>
  <si>
    <t>Date</t>
  </si>
  <si>
    <t>Month</t>
  </si>
  <si>
    <t>Waranty</t>
  </si>
  <si>
    <t>Date expire</t>
  </si>
  <si>
    <t>Loại</t>
  </si>
  <si>
    <t>NCC</t>
  </si>
  <si>
    <t>Tham chiếu hạng mục ngân sách</t>
  </si>
  <si>
    <t>Chi tiết Tham chiếu hạng mục ngân sách</t>
  </si>
  <si>
    <t>Bàn phím</t>
  </si>
  <si>
    <t>Dell V3468</t>
  </si>
  <si>
    <t>No Light</t>
  </si>
  <si>
    <t>Thoại Phi</t>
  </si>
  <si>
    <t>AD1</t>
  </si>
  <si>
    <t>1Y</t>
  </si>
  <si>
    <t>Thay mới</t>
  </si>
  <si>
    <t>Nam Á</t>
  </si>
  <si>
    <t>IT Equipment for end user/ Thiết bị tin học</t>
  </si>
  <si>
    <t>Replacement Peripherals/ Maintenance and repair for end user/  Thiết bị ngoại vi thay thế/ Bảo trì và sửa chữa dành cho người dùng cuối</t>
  </si>
  <si>
    <t>Pin</t>
  </si>
  <si>
    <t>Thảo My</t>
  </si>
  <si>
    <t>AD6B</t>
  </si>
  <si>
    <t>HP P440 G2</t>
  </si>
  <si>
    <t>Thùy Anh</t>
  </si>
  <si>
    <t>HP P440 G3</t>
  </si>
  <si>
    <t>Light</t>
  </si>
  <si>
    <t>Phương Trâm</t>
  </si>
  <si>
    <t>TAXG5</t>
  </si>
  <si>
    <t>6T</t>
  </si>
  <si>
    <t>Thu Hằng</t>
  </si>
  <si>
    <t>AD4</t>
  </si>
  <si>
    <t>HP P440 G5</t>
  </si>
  <si>
    <t>Kim Phụng</t>
  </si>
  <si>
    <t>TAXG3</t>
  </si>
  <si>
    <t>Hoàng Phi</t>
  </si>
  <si>
    <t>AD5</t>
  </si>
  <si>
    <t>Màn hình</t>
  </si>
  <si>
    <t>HP P440 G1</t>
  </si>
  <si>
    <t>Thảo Trúc</t>
  </si>
  <si>
    <t>TAXG4</t>
  </si>
  <si>
    <t xml:space="preserve">Sạc </t>
  </si>
  <si>
    <t>Quế Đạt</t>
  </si>
  <si>
    <t>TAXG2</t>
  </si>
  <si>
    <t>Ổ cứng</t>
  </si>
  <si>
    <t xml:space="preserve"> SDD - 512GB</t>
  </si>
  <si>
    <t>Bích Trâm</t>
  </si>
  <si>
    <t>TAXG1</t>
  </si>
  <si>
    <t>3Y</t>
  </si>
  <si>
    <t>HP P440 G6</t>
  </si>
  <si>
    <t>Phương Vinh</t>
  </si>
  <si>
    <t>Internet</t>
  </si>
  <si>
    <t>IT</t>
  </si>
  <si>
    <t>1T</t>
  </si>
  <si>
    <t>Gia hạn</t>
  </si>
  <si>
    <t>VIETTEL</t>
  </si>
  <si>
    <t>Operation, Maintenance for System Information / Duy trì hoạt động, bảo trì bảo dưỡng</t>
  </si>
  <si>
    <t xml:space="preserve"> Internet/ Đường truyền</t>
  </si>
  <si>
    <t>Tivi</t>
  </si>
  <si>
    <t>LG
70 inch</t>
  </si>
  <si>
    <t>2Y</t>
  </si>
  <si>
    <t>Chính Nhân</t>
  </si>
  <si>
    <t>Video Confer</t>
  </si>
  <si>
    <t>Yealink</t>
  </si>
  <si>
    <t>Du Hưng</t>
  </si>
  <si>
    <t xml:space="preserve">CRM </t>
  </si>
  <si>
    <t>FPT Smart</t>
  </si>
  <si>
    <t>Software license/Bản quyền phần mềm</t>
  </si>
  <si>
    <t>CRM/ Phần mềm quản lý khách hàng</t>
  </si>
  <si>
    <t>PC</t>
  </si>
  <si>
    <t>Phương Uyên</t>
  </si>
  <si>
    <t>HR</t>
  </si>
  <si>
    <t>Adobe Cloud</t>
  </si>
  <si>
    <t>Hữu Lương</t>
  </si>
  <si>
    <t>TSG/Soft 365</t>
  </si>
  <si>
    <t>PDF</t>
  </si>
  <si>
    <t>SSL</t>
  </si>
  <si>
    <t>PA Vietnam</t>
  </si>
  <si>
    <t>Server mail PA. Hosting,Certificate SSL/ Server mail, tên miền</t>
  </si>
  <si>
    <t xml:space="preserve">Zoom </t>
  </si>
  <si>
    <t>Office 365</t>
  </si>
  <si>
    <t>Office 365/ Phần mềm Office 365</t>
  </si>
  <si>
    <t xml:space="preserve">Chuột </t>
  </si>
  <si>
    <t>M331 (silent)</t>
  </si>
  <si>
    <t>Việt Hà</t>
  </si>
  <si>
    <t>AD7</t>
  </si>
  <si>
    <t>Orico</t>
  </si>
  <si>
    <t>Hoài Vũ</t>
  </si>
  <si>
    <t>Hoài Thu</t>
  </si>
  <si>
    <t>TAXG8</t>
  </si>
  <si>
    <t>Tú Linh</t>
  </si>
  <si>
    <t>Tấn Đạt</t>
  </si>
  <si>
    <t>Trang Anh</t>
  </si>
  <si>
    <t>BDCN</t>
  </si>
  <si>
    <t>Box ở cứng NVMe-Sata</t>
  </si>
  <si>
    <t>SHE-C320</t>
  </si>
  <si>
    <t>Thành Phúc</t>
  </si>
  <si>
    <t>Box ở cứng NVMe-M2</t>
  </si>
  <si>
    <t>HE-C327</t>
  </si>
  <si>
    <t>M221 (silent)</t>
  </si>
  <si>
    <t>Kim Ngân</t>
  </si>
  <si>
    <t>Dell Inpiron 3467</t>
  </si>
  <si>
    <t>Ngọc Hân</t>
  </si>
  <si>
    <t>Acc</t>
  </si>
  <si>
    <t>Nhân Hoàng</t>
  </si>
  <si>
    <t>Nguồn (Mainboard)</t>
  </si>
  <si>
    <t>Uyên My</t>
  </si>
  <si>
    <t>AD6A</t>
  </si>
  <si>
    <t>3T</t>
  </si>
  <si>
    <t>Sữa chữa</t>
  </si>
  <si>
    <t>Khánh Huyền</t>
  </si>
  <si>
    <t>Phương Quỳnh</t>
  </si>
  <si>
    <t>Bích Lên</t>
  </si>
  <si>
    <t>AD2B</t>
  </si>
  <si>
    <t>Gia Hân</t>
  </si>
  <si>
    <t>Hoàng Sang</t>
  </si>
  <si>
    <t>Văn Thiên</t>
  </si>
  <si>
    <t>Cáp VGA</t>
  </si>
  <si>
    <t>Quang An</t>
  </si>
  <si>
    <t>Thu Ngọc</t>
  </si>
  <si>
    <t>AD2A</t>
  </si>
  <si>
    <t>Ngọc Phượng</t>
  </si>
  <si>
    <t>TAXG9</t>
  </si>
  <si>
    <t>Thúy Ngọc</t>
  </si>
  <si>
    <t>Viettel</t>
  </si>
  <si>
    <t>Trackpad</t>
  </si>
  <si>
    <t>Macbook</t>
  </si>
  <si>
    <t>Liên Hương</t>
  </si>
  <si>
    <t>BOD</t>
  </si>
  <si>
    <t>Touchbar</t>
  </si>
  <si>
    <t>M590</t>
  </si>
  <si>
    <t>Hồng Loan</t>
  </si>
  <si>
    <t>Mainboard</t>
  </si>
  <si>
    <t>Phương Thảo</t>
  </si>
  <si>
    <t>TAXG6</t>
  </si>
  <si>
    <t>Hãng HP</t>
  </si>
  <si>
    <t>Nguyễn Loan</t>
  </si>
  <si>
    <t>Vĩnh Phát</t>
  </si>
  <si>
    <t>Thủy Tiên</t>
  </si>
  <si>
    <t>Anh Quốc</t>
  </si>
  <si>
    <t>Diễm Thu</t>
  </si>
  <si>
    <t>Dell V3460</t>
  </si>
  <si>
    <t>Ngọc Quý</t>
  </si>
  <si>
    <t>Cẩm Nhung</t>
  </si>
  <si>
    <t>Máy in</t>
  </si>
  <si>
    <t>M428FDN</t>
  </si>
  <si>
    <t>Danh Quân</t>
  </si>
  <si>
    <t>Minh Trí</t>
  </si>
  <si>
    <t>Quỳnh Anh</t>
  </si>
  <si>
    <t>Dell Latitude 7490</t>
  </si>
  <si>
    <t>Bích Liễu</t>
  </si>
  <si>
    <t>Thu Trang</t>
  </si>
  <si>
    <t>Thu Thảo</t>
  </si>
  <si>
    <t>B175 (normal)</t>
  </si>
  <si>
    <t>Bảo Trung</t>
  </si>
  <si>
    <t>Hứa Thành</t>
  </si>
  <si>
    <t>Hoài Thương</t>
  </si>
  <si>
    <t>Chị Loan</t>
  </si>
  <si>
    <t>Thay bình USB/Vệ sinh</t>
  </si>
  <si>
    <t>UPS SURTD3000XLI</t>
  </si>
  <si>
    <t>Phòng Server - Rack B</t>
  </si>
  <si>
    <t>Replacement Peripherals/ Maintenance and repair Thiết bị ngoại vi thay thế/ Bảo trì và sửa chữa dành cho hệ thống</t>
  </si>
  <si>
    <t>ThinkPad T14 Gen 1</t>
  </si>
  <si>
    <t>Mỹ Trinh</t>
  </si>
  <si>
    <t>ThinkPad E14</t>
  </si>
  <si>
    <t>Hoàng Trúc</t>
  </si>
  <si>
    <t>CAT</t>
  </si>
  <si>
    <t>Mỹ Linh</t>
  </si>
  <si>
    <t>Thu Hoài</t>
  </si>
  <si>
    <t>Trung Hiếu</t>
  </si>
  <si>
    <t>Thu Nguyện</t>
  </si>
  <si>
    <t>Tuyết Nhung</t>
  </si>
  <si>
    <t>Nhiễu Đan</t>
  </si>
  <si>
    <t>Phòng Server - Rack A</t>
  </si>
  <si>
    <t>Kim Dung</t>
  </si>
  <si>
    <t>Hoài Thanh</t>
  </si>
  <si>
    <t>Diễm Hằng</t>
  </si>
  <si>
    <t>Sensor</t>
  </si>
  <si>
    <t>Camera</t>
  </si>
  <si>
    <t>Kết nối: cáp, giá treo</t>
  </si>
  <si>
    <t>Kim Liên</t>
  </si>
  <si>
    <t>Thanh Phương</t>
  </si>
  <si>
    <t>Khánh Như</t>
  </si>
  <si>
    <t>Trung Thành</t>
  </si>
  <si>
    <t>Thiên Phương</t>
  </si>
  <si>
    <t>Linh Chi</t>
  </si>
  <si>
    <t>LCD FHD1080</t>
  </si>
  <si>
    <t>Xuân Mão</t>
  </si>
  <si>
    <t>Webcam Logitech</t>
  </si>
  <si>
    <t>C920E</t>
  </si>
  <si>
    <t>Canon 6230DN</t>
  </si>
  <si>
    <t>Printer/ Máy in</t>
  </si>
  <si>
    <t>Xuân Công</t>
  </si>
  <si>
    <t>Mỹ Hoa</t>
  </si>
  <si>
    <t>Phi Yến</t>
  </si>
  <si>
    <t>Thuê Laptop</t>
  </si>
  <si>
    <t>ICT Sài Gòn</t>
  </si>
  <si>
    <t>VPS</t>
  </si>
  <si>
    <t>INET</t>
  </si>
  <si>
    <t>Quỳnh Như</t>
  </si>
  <si>
    <t>Thanh Thanh</t>
  </si>
  <si>
    <t>Thu Lý</t>
  </si>
  <si>
    <t>Cẩm Hằng</t>
  </si>
  <si>
    <t>A4Tech</t>
  </si>
  <si>
    <t>Ngọc Thảo</t>
  </si>
  <si>
    <t>Bích Phương</t>
  </si>
  <si>
    <t>Đan Thy</t>
  </si>
  <si>
    <t>Hiền Linh</t>
  </si>
  <si>
    <t>Admin</t>
  </si>
  <si>
    <t xml:space="preserve">Chị Thanh </t>
  </si>
  <si>
    <t>Hồng Diễm</t>
  </si>
  <si>
    <t xml:space="preserve">Bào Ngân </t>
  </si>
  <si>
    <t>Trung Kiên</t>
  </si>
  <si>
    <t>Mai Châu</t>
  </si>
  <si>
    <t>Khánh Long</t>
  </si>
  <si>
    <t>Thu Hiền</t>
  </si>
  <si>
    <t>Thế Hoan</t>
  </si>
  <si>
    <t>Phi Long</t>
  </si>
  <si>
    <t>WD HDD 4TB</t>
  </si>
  <si>
    <t>462.000</t>
  </si>
  <si>
    <t>583.000</t>
  </si>
  <si>
    <t>Camera tại tòa nhà VL</t>
  </si>
  <si>
    <t>Server</t>
  </si>
  <si>
    <t>Server/ Worksation/ máy chủ, máy trạm</t>
  </si>
  <si>
    <t>MS 365</t>
  </si>
  <si>
    <t>Thực tập sử dụng</t>
  </si>
  <si>
    <t>DAN</t>
  </si>
  <si>
    <t>VNPT</t>
  </si>
  <si>
    <t>Bích Ngân</t>
  </si>
  <si>
    <t>RAM</t>
  </si>
  <si>
    <t> </t>
  </si>
  <si>
    <t>16GB</t>
  </si>
  <si>
    <t>Hiếu Hiền</t>
  </si>
  <si>
    <t>Bích Huyền</t>
  </si>
  <si>
    <t>Bích Thảo</t>
  </si>
  <si>
    <t>Ngoc Trang</t>
  </si>
  <si>
    <t>Kỳ Doanh</t>
  </si>
  <si>
    <t>Thanh Thương</t>
  </si>
  <si>
    <t>Ly Na</t>
  </si>
  <si>
    <t>Dell Inpiron N5110</t>
  </si>
  <si>
    <t>Dock tản nhiệt</t>
  </si>
  <si>
    <t>Bộ chia USB</t>
  </si>
  <si>
    <t>Chi Thi</t>
  </si>
  <si>
    <t>ACC</t>
  </si>
  <si>
    <t>Nguyễn Mỹ</t>
  </si>
  <si>
    <t>Bản lề</t>
  </si>
  <si>
    <t>Hữu Nhân</t>
  </si>
  <si>
    <t>Mặt C</t>
  </si>
  <si>
    <t>Tiểu Ân</t>
  </si>
  <si>
    <t>Nhật Minh</t>
  </si>
  <si>
    <t>Thu Hương</t>
  </si>
  <si>
    <t>Trang Lưu</t>
  </si>
  <si>
    <t>rsm.com.vn</t>
  </si>
  <si>
    <t>rsm.vn</t>
  </si>
  <si>
    <t>Cloud Goolge</t>
  </si>
  <si>
    <t>Sao Mai</t>
  </si>
  <si>
    <t>Tablet</t>
  </si>
  <si>
    <t>Lương Văn</t>
  </si>
  <si>
    <t>Diệu Phúc</t>
  </si>
  <si>
    <t>4T</t>
  </si>
  <si>
    <t>Cáy Vĩnh Phát</t>
  </si>
  <si>
    <t xml:space="preserve"> Diễm Hoa</t>
  </si>
  <si>
    <t>HP P440 G0</t>
  </si>
  <si>
    <t xml:space="preserve">Thanh Phương </t>
  </si>
  <si>
    <t>Mỹ Na</t>
  </si>
  <si>
    <t>Thảo Vy</t>
  </si>
  <si>
    <t>Minh Phụng</t>
  </si>
  <si>
    <t xml:space="preserve">Scan </t>
  </si>
  <si>
    <t>Cannon P215II</t>
  </si>
  <si>
    <t>Văn Minh</t>
  </si>
  <si>
    <t>Hoàng Ngân</t>
  </si>
  <si>
    <t>20/5/2022</t>
  </si>
  <si>
    <t>20/05/2022</t>
  </si>
  <si>
    <t>Hăng Nga</t>
  </si>
  <si>
    <t>Lan Hương</t>
  </si>
  <si>
    <t>11//05/2022</t>
  </si>
  <si>
    <t>23/05/2022</t>
  </si>
  <si>
    <t>Phương Thanh</t>
  </si>
  <si>
    <t>Ram Kingmax (1x8Gb) DDR3L 1600MHz</t>
  </si>
  <si>
    <t>Cường  Phạm</t>
  </si>
  <si>
    <t>3.300.000</t>
  </si>
  <si>
    <t>16/05/2022</t>
  </si>
  <si>
    <t>Việt Hoàng</t>
  </si>
  <si>
    <t>Bảo Ngân</t>
  </si>
  <si>
    <t>Bao da</t>
  </si>
  <si>
    <t>Cellphone S</t>
  </si>
  <si>
    <t>Thiết bị phát Wifi di động</t>
  </si>
  <si>
    <t>Totolink</t>
  </si>
  <si>
    <t>Nguyệt Vy</t>
  </si>
  <si>
    <t>Cường Phạm</t>
  </si>
  <si>
    <t>Recom</t>
  </si>
  <si>
    <t>WDS500G2B0A</t>
  </si>
  <si>
    <t>5Y</t>
  </si>
  <si>
    <t>Mua mới bổ sung</t>
  </si>
  <si>
    <t>Long Nguyễn</t>
  </si>
  <si>
    <t>Bình Nguyễn</t>
  </si>
  <si>
    <t>Nhơn Nguyễn</t>
  </si>
  <si>
    <t>Tháng 6</t>
  </si>
  <si>
    <t>Hải Yến</t>
  </si>
  <si>
    <t>TAX_4</t>
  </si>
  <si>
    <t>Quốc Tuấn</t>
  </si>
  <si>
    <t>Thu Hà</t>
  </si>
  <si>
    <t>Cáp HDMI</t>
  </si>
  <si>
    <t>Ugreen</t>
  </si>
  <si>
    <t>Sạc</t>
  </si>
  <si>
    <t>T430</t>
  </si>
  <si>
    <t>14/06/2022</t>
  </si>
  <si>
    <t>ICT</t>
  </si>
  <si>
    <t>Dell 3468</t>
  </si>
  <si>
    <t>Phương Nguyên</t>
  </si>
  <si>
    <t>17/06/2022</t>
  </si>
  <si>
    <t>PIn</t>
  </si>
  <si>
    <t>Dũng Mạnh</t>
  </si>
  <si>
    <t>Lenovo T14 Gen 1</t>
  </si>
  <si>
    <t>Ngọc Thẵm</t>
  </si>
  <si>
    <t>20/06/2022</t>
  </si>
  <si>
    <t>Thái An</t>
  </si>
  <si>
    <t>28/06/2022</t>
  </si>
  <si>
    <t>Dell 7490</t>
  </si>
  <si>
    <t>Chị Liên Hương BOD</t>
  </si>
  <si>
    <t>30/06/2022</t>
  </si>
  <si>
    <t>Thanh Thuý</t>
  </si>
  <si>
    <t>04/072022</t>
  </si>
  <si>
    <t>HP Elitebook</t>
  </si>
  <si>
    <t>Nguyễn Thị Hoàng Anh</t>
  </si>
  <si>
    <t>Thuê</t>
  </si>
  <si>
    <t>Trần Trí Thông</t>
  </si>
  <si>
    <t>Nguyễn Thị Mỹ Hảo</t>
  </si>
  <si>
    <t>B175</t>
  </si>
  <si>
    <t>Lâm Thiện Toàn</t>
  </si>
  <si>
    <t>Lê Ngô Tường Vy</t>
  </si>
  <si>
    <t>Nguyễn Thị Ngân</t>
  </si>
  <si>
    <t>Nguyễn Thanh Thúy</t>
  </si>
  <si>
    <t>Lê Thị Phượng</t>
  </si>
  <si>
    <t>NV5</t>
  </si>
  <si>
    <t>Nguyễn Thị Thu Hương</t>
  </si>
  <si>
    <t>Bùi Thị Huệ</t>
  </si>
  <si>
    <t>Nguyễn Thị Thương</t>
  </si>
  <si>
    <t>Huỳnh Quốc Duy</t>
  </si>
  <si>
    <t>TAX6</t>
  </si>
  <si>
    <t>Nguyên Hồ Nhật Tiến</t>
  </si>
  <si>
    <t>Nguyễn Thị Yến Nhi</t>
  </si>
  <si>
    <t>Nguyễn Minh Hiếu</t>
  </si>
  <si>
    <t>Phạm Thị Thu Cẩm</t>
  </si>
  <si>
    <t>Cao Vũ Mỹ Duyên</t>
  </si>
  <si>
    <t>Lê Yến Nhi</t>
  </si>
  <si>
    <t>Ninh Thị Ánh Ngọc</t>
  </si>
  <si>
    <t>Đỗ Uyên Vy</t>
  </si>
  <si>
    <t>Nguyễn Nguyên Ngọc Thảo</t>
  </si>
  <si>
    <t>Nguyễn Xuân Hải</t>
  </si>
  <si>
    <t>Trần Tố Thanh</t>
  </si>
  <si>
    <t>Trần Thanh Ngân</t>
  </si>
  <si>
    <t>Đỗ Thúy Vinh</t>
  </si>
  <si>
    <t>Trần Diễm Trân</t>
  </si>
  <si>
    <t>TAX3C</t>
  </si>
  <si>
    <t>Bùi Ngọc Trúc Linh</t>
  </si>
  <si>
    <t>Nguyễn Đức Lê Thịnh</t>
  </si>
  <si>
    <t>Võ Văn Hữu Phúc</t>
  </si>
  <si>
    <t>Ngô Đức Thiên</t>
  </si>
  <si>
    <t>Trần Ái Vy</t>
  </si>
  <si>
    <t>Sửa nguồn laptop</t>
  </si>
  <si>
    <t>HP 440 G5</t>
  </si>
  <si>
    <t>Ngô Đình Huy</t>
  </si>
  <si>
    <t>23/06/2022</t>
  </si>
  <si>
    <t>T14 Gen 1</t>
  </si>
  <si>
    <t>Phan Hoài Nam</t>
  </si>
  <si>
    <t>Thuê laptop</t>
  </si>
  <si>
    <t>Dell E5570</t>
  </si>
  <si>
    <t>Thành Chung</t>
  </si>
  <si>
    <t>Chị Ngân Phan</t>
  </si>
  <si>
    <t>RJ45 Cat 5E</t>
  </si>
  <si>
    <t>ITS</t>
  </si>
  <si>
    <t>2T</t>
  </si>
  <si>
    <t>TAXTK</t>
  </si>
  <si>
    <t>Nhà cung cấp</t>
  </si>
  <si>
    <t>Robo</t>
  </si>
  <si>
    <t>TTSI</t>
  </si>
  <si>
    <t>Điện máy xanh</t>
  </si>
  <si>
    <t>TTC Info</t>
  </si>
  <si>
    <t>Nam Trường Sơn</t>
  </si>
  <si>
    <t>HP</t>
  </si>
  <si>
    <t>FPT FTEL</t>
  </si>
  <si>
    <t>FPT FTI</t>
  </si>
  <si>
    <t>CMC</t>
  </si>
  <si>
    <t>SDI</t>
  </si>
  <si>
    <t>Mega DAN</t>
  </si>
  <si>
    <t>Dell</t>
  </si>
  <si>
    <t>Lenovo</t>
  </si>
  <si>
    <t>2020/2021</t>
  </si>
  <si>
    <t>11 months</t>
  </si>
  <si>
    <t>Reason for the variance</t>
  </si>
  <si>
    <r>
      <t xml:space="preserve">· ORB/ </t>
    </r>
    <r>
      <rPr>
        <sz val="10"/>
        <color rgb="FF00B050"/>
        <rFont val="Arial"/>
        <family val="2"/>
      </rPr>
      <t>Phần mềm kiểm toán</t>
    </r>
  </si>
  <si>
    <r>
      <t xml:space="preserve">· CRM/ </t>
    </r>
    <r>
      <rPr>
        <sz val="10"/>
        <color rgb="FF00B0F0"/>
        <rFont val="Arial"/>
        <family val="2"/>
      </rPr>
      <t>Phần mềm quản lý khách hàng</t>
    </r>
  </si>
  <si>
    <r>
      <t xml:space="preserve">· Windown 10 Operation / </t>
    </r>
    <r>
      <rPr>
        <sz val="10"/>
        <color rgb="FF00B0F0"/>
        <rFont val="Arial"/>
        <family val="2"/>
      </rPr>
      <t>Hệ điều hành Microsoft Windows</t>
    </r>
  </si>
  <si>
    <r>
      <t>· MS 365/ P</t>
    </r>
    <r>
      <rPr>
        <sz val="10"/>
        <color theme="9" tint="-0.249977111117893"/>
        <rFont val="Arial"/>
        <family val="2"/>
      </rPr>
      <t>hần mềm MS 365</t>
    </r>
  </si>
  <si>
    <r>
      <t xml:space="preserve">· Office 365/ </t>
    </r>
    <r>
      <rPr>
        <sz val="10"/>
        <color theme="9" tint="-0.249977111117893"/>
        <rFont val="Arial"/>
        <family val="2"/>
      </rPr>
      <t>Phần mềm Office 365</t>
    </r>
  </si>
  <si>
    <t>· Creative Cloud/ phần mềm đồ họa</t>
  </si>
  <si>
    <t>· Research information legal (thư viện pháp luật, luật vietnam.vn , luat vietnam.vn)</t>
  </si>
  <si>
    <t>· Pdf Tool</t>
  </si>
  <si>
    <r>
      <t xml:space="preserve">· Laptop/ </t>
    </r>
    <r>
      <rPr>
        <sz val="10"/>
        <color theme="9" tint="-0.249977111117893"/>
        <rFont val="Arial"/>
        <family val="2"/>
      </rPr>
      <t>Máy tính</t>
    </r>
  </si>
  <si>
    <r>
      <t xml:space="preserve">· Printer/ </t>
    </r>
    <r>
      <rPr>
        <sz val="10"/>
        <color theme="9" tint="-0.249977111117893"/>
        <rFont val="Arial"/>
        <family val="2"/>
      </rPr>
      <t>Máy in</t>
    </r>
  </si>
  <si>
    <r>
      <t xml:space="preserve">· Scaner potable/ </t>
    </r>
    <r>
      <rPr>
        <sz val="10"/>
        <color theme="9" tint="-0.249977111117893"/>
        <rFont val="Arial"/>
        <family val="2"/>
      </rPr>
      <t>Máy scan</t>
    </r>
  </si>
  <si>
    <t>· Mutilmedia: Televison, Video confernernen/ thiết bị phục vụ họp/ hội thảo trực tuyến</t>
  </si>
  <si>
    <t>· IT equipment rental (short-term)</t>
  </si>
  <si>
    <r>
      <t xml:space="preserve">· Replacement Peripherals/ Maintenance and repair for end user/  </t>
    </r>
    <r>
      <rPr>
        <sz val="10"/>
        <color theme="9" tint="-0.249977111117893"/>
        <rFont val="Arial"/>
        <family val="2"/>
      </rPr>
      <t>Thiết bị ngoại vi thay thế/ Bảo trì và sửa chữa dành cho người dùng cuối</t>
    </r>
  </si>
  <si>
    <r>
      <t>· Operation, Maintenance for System Information /</t>
    </r>
    <r>
      <rPr>
        <b/>
        <sz val="10"/>
        <color theme="9" tint="-0.249977111117893"/>
        <rFont val="Arial"/>
        <family val="2"/>
      </rPr>
      <t xml:space="preserve"> Duy trì hoạt động, bảo trì bảo dưỡng</t>
    </r>
  </si>
  <si>
    <r>
      <t xml:space="preserve">· Server/ </t>
    </r>
    <r>
      <rPr>
        <sz val="10"/>
        <color theme="9" tint="-0.249977111117893"/>
        <rFont val="Arial"/>
        <family val="2"/>
      </rPr>
      <t>Worksation/ máy chủ, máy trạm</t>
    </r>
  </si>
  <si>
    <r>
      <t xml:space="preserve">· Internet/ </t>
    </r>
    <r>
      <rPr>
        <sz val="10"/>
        <color theme="9" tint="-0.249977111117893"/>
        <rFont val="Arial"/>
        <family val="2"/>
      </rPr>
      <t>Đường truyền</t>
    </r>
  </si>
  <si>
    <r>
      <t xml:space="preserve">· Server mail PA. Hosting,Certificate SSL/ </t>
    </r>
    <r>
      <rPr>
        <sz val="10"/>
        <color theme="9" tint="-0.249977111117893"/>
        <rFont val="Arial"/>
        <family val="2"/>
      </rPr>
      <t>Server mail, tên miền</t>
    </r>
  </si>
  <si>
    <t>· Voice IP sevice &amp; fee monthly</t>
  </si>
  <si>
    <t>· Camera</t>
  </si>
  <si>
    <t>· VPS/ Cloud Server</t>
  </si>
  <si>
    <r>
      <t xml:space="preserve">· Replacement Peripherals/ Maintenance and repair </t>
    </r>
    <r>
      <rPr>
        <sz val="10"/>
        <color theme="9" tint="-0.249977111117893"/>
        <rFont val="Arial"/>
        <family val="2"/>
      </rPr>
      <t>Thiết bị ngoại vi thay thế/ Bảo trì và sửa chữa dành cho người dùng cuối dành cho hệ thống</t>
    </r>
  </si>
  <si>
    <r>
      <t xml:space="preserve">· Endpoint secrity/ </t>
    </r>
    <r>
      <rPr>
        <sz val="10"/>
        <color theme="9" tint="-0.249977111117893"/>
        <rFont val="Arial"/>
        <family val="2"/>
      </rPr>
      <t>Bảo vệ và mã hóa dữ liệu</t>
    </r>
  </si>
  <si>
    <r>
      <t xml:space="preserve">· Pentest vs Report/ </t>
    </r>
    <r>
      <rPr>
        <sz val="10"/>
        <color theme="9" tint="-0.249977111117893"/>
        <rFont val="Arial"/>
        <family val="2"/>
      </rPr>
      <t>Kiểm thử hệ thống mạng</t>
    </r>
  </si>
  <si>
    <r>
      <t xml:space="preserve">· ISO 27001/ </t>
    </r>
    <r>
      <rPr>
        <sz val="10"/>
        <color theme="9" tint="-0.249977111117893"/>
        <rFont val="Arial"/>
        <family val="2"/>
      </rPr>
      <t>An ninh thông tin ISO 27001</t>
    </r>
  </si>
  <si>
    <t>· DR Site/Backup/High Availble/ Trung tâm khắc phục thảm hoạ, sao lưu dữ liệu/ tính sẵn sàng</t>
  </si>
  <si>
    <t>· ERP/ Phần mềm quản trị doanh nghiệp 4.0 (Acc/HRM/L&amp;D/Office/PMP)</t>
  </si>
  <si>
    <t>· HRM/ Phần mềm quản lý nhân sự</t>
  </si>
  <si>
    <r>
      <t xml:space="preserve">· Acc&amp;Fni/ </t>
    </r>
    <r>
      <rPr>
        <sz val="10"/>
        <color theme="9" tint="-0.249977111117893"/>
        <rFont val="Arial"/>
        <family val="2"/>
      </rPr>
      <t>Phần mềm kế toán, quản trị tài chính</t>
    </r>
  </si>
  <si>
    <t>· LD, LMS/ phần mềm đào tạo trực tuyến/ quản lý đào tạo</t>
  </si>
  <si>
    <t>· Quản lý hợp đồng/ ký số điện tử</t>
  </si>
  <si>
    <r>
      <t xml:space="preserve">Number of staff/ </t>
    </r>
    <r>
      <rPr>
        <b/>
        <sz val="10"/>
        <color theme="9" tint="-0.249977111117893"/>
        <rFont val="Arial"/>
        <family val="2"/>
      </rPr>
      <t>Số lượng nhân viên</t>
    </r>
    <r>
      <rPr>
        <b/>
        <sz val="10"/>
        <color theme="4"/>
        <rFont val="Arial"/>
        <family val="2"/>
      </rPr>
      <t>: 8</t>
    </r>
  </si>
  <si>
    <t>Sử dụng chung các loại tài khoản với HCMC</t>
  </si>
  <si>
    <r>
      <t xml:space="preserve">· Replacement Peripherals/ </t>
    </r>
    <r>
      <rPr>
        <sz val="10"/>
        <color theme="9" tint="-0.249977111117893"/>
        <rFont val="Arial"/>
        <family val="2"/>
      </rPr>
      <t>Thiết bị ngoại vi thay thế</t>
    </r>
  </si>
  <si>
    <t>Dành cho nhân viên thực tập, nếu thời điểm thực văn phòng HCMC còn laptop tồn kho sẽ không tính khoảng này</t>
  </si>
  <si>
    <t>·IT equipment rental (short-term)</t>
  </si>
  <si>
    <t>· Other Equipment (screen,Hard Drive…)</t>
  </si>
  <si>
    <t>· System&amp; Network:  Server, Switch, Wifi…</t>
  </si>
  <si>
    <t>Thiết bị cân bằng tải</t>
  </si>
  <si>
    <r>
      <t xml:space="preserve">· Maintenance and repair/ </t>
    </r>
    <r>
      <rPr>
        <sz val="10"/>
        <color theme="9" tint="-0.249977111117893"/>
        <rFont val="Arial"/>
        <family val="2"/>
      </rPr>
      <t>Bảo trì sữa chữa</t>
    </r>
  </si>
  <si>
    <t>Bao gồm chi phí nhân sự IT di chuyển ra DAN thực hiện bảo trì hàng năm</t>
  </si>
  <si>
    <t>….........</t>
  </si>
  <si>
    <t>Chi phí thay linh kiện 2 máy in chuyên dụng</t>
  </si>
  <si>
    <t>· System&amp; Network: include Server, Switch, Wifi…</t>
  </si>
  <si>
    <t>Licence bảo vệ thiết bị bên trong vùng mạng Apple, 25/5/2022 hết licence</t>
  </si>
  <si>
    <t>HP 440 G3</t>
  </si>
  <si>
    <t>Thanh Quang</t>
  </si>
  <si>
    <t>Bích Phượng</t>
  </si>
  <si>
    <t>Trân Bảo Yến</t>
  </si>
  <si>
    <t>Laptop</t>
  </si>
  <si>
    <t>Lenovo P14S Gen 3</t>
  </si>
  <si>
    <t>Lenovo T14 Gen 3</t>
  </si>
  <si>
    <t>Đầu nối RJ45</t>
  </si>
  <si>
    <t>Lenovo E14</t>
  </si>
  <si>
    <t>Minh Thư</t>
  </si>
  <si>
    <t>SEC</t>
  </si>
  <si>
    <t>AD6A + AD6B</t>
  </si>
  <si>
    <t>Vũ Thị Ngọc Diệp</t>
  </si>
  <si>
    <t>HP 440 G6</t>
  </si>
  <si>
    <t>Phương Trinh</t>
  </si>
  <si>
    <t>Thế Vinh</t>
  </si>
  <si>
    <t>Trúc 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</si>
</sst>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₫&quot;_-;\-* #,##0.00\ &quot;₫&quot;_-;_-* &quot;-&quot;??\ &quot;₫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1010000]d/m/yyyy;@"/>
    <numFmt numFmtId="167" formatCode="[$VND]\ #,##0"/>
    <numFmt numFmtId="168" formatCode="[$VND]\ #,##0.00_);\([$VND]\ #,##0.00\)"/>
    <numFmt numFmtId="169" formatCode="_([$VND]\ * #,##0_);_([$VND]\ * \(#,##0\);_([$VND]\ * &quot;-&quot;_);_(@_)"/>
    <numFmt numFmtId="173" formatCode="#,##0\ [$VND]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F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B0F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hair">
        <color theme="4"/>
      </right>
      <top style="thin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hair">
        <color theme="4"/>
      </bottom>
      <diagonal/>
    </border>
    <border>
      <left style="hair">
        <color theme="4"/>
      </left>
      <right style="thin">
        <color theme="4"/>
      </right>
      <top style="thin">
        <color theme="4"/>
      </top>
      <bottom style="hair">
        <color theme="4"/>
      </bottom>
      <diagonal/>
    </border>
    <border>
      <left style="thin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thin">
        <color theme="4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/>
  </cellStyleXfs>
  <cellXfs count="202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9" fontId="3" fillId="0" borderId="13" xfId="0" applyNumberFormat="1" applyFont="1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165" fontId="4" fillId="3" borderId="2" xfId="1" applyNumberFormat="1" applyFont="1" applyFill="1" applyBorder="1"/>
    <xf numFmtId="165" fontId="3" fillId="3" borderId="2" xfId="1" applyNumberFormat="1" applyFont="1" applyFill="1" applyBorder="1"/>
    <xf numFmtId="0" fontId="3" fillId="3" borderId="2" xfId="0" applyFont="1" applyFill="1" applyBorder="1"/>
    <xf numFmtId="0" fontId="3" fillId="0" borderId="2" xfId="0" applyFont="1" applyBorder="1" applyAlignment="1">
      <alignment vertical="center" wrapText="1"/>
    </xf>
    <xf numFmtId="165" fontId="3" fillId="0" borderId="2" xfId="1" applyNumberFormat="1" applyFont="1" applyBorder="1"/>
    <xf numFmtId="0" fontId="4" fillId="3" borderId="2" xfId="0" applyFont="1" applyFill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165" fontId="3" fillId="4" borderId="2" xfId="1" applyNumberFormat="1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165" fontId="3" fillId="0" borderId="2" xfId="1" applyNumberFormat="1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165" fontId="3" fillId="0" borderId="2" xfId="1" applyNumberFormat="1" applyFont="1" applyBorder="1" applyAlignment="1">
      <alignment vertical="center"/>
    </xf>
    <xf numFmtId="165" fontId="3" fillId="0" borderId="2" xfId="1" applyNumberFormat="1" applyFont="1" applyBorder="1" applyAlignment="1">
      <alignment vertical="center" wrapText="1"/>
    </xf>
    <xf numFmtId="4" fontId="3" fillId="0" borderId="2" xfId="0" applyNumberFormat="1" applyFont="1" applyBorder="1"/>
    <xf numFmtId="0" fontId="3" fillId="5" borderId="2" xfId="0" applyFont="1" applyFill="1" applyBorder="1" applyAlignment="1">
      <alignment vertical="center" wrapText="1"/>
    </xf>
    <xf numFmtId="3" fontId="3" fillId="5" borderId="2" xfId="0" applyNumberFormat="1" applyFont="1" applyFill="1" applyBorder="1" applyAlignment="1">
      <alignment vertical="center" wrapText="1"/>
    </xf>
    <xf numFmtId="9" fontId="3" fillId="0" borderId="1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9" fontId="3" fillId="5" borderId="13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3" fontId="3" fillId="5" borderId="2" xfId="0" applyNumberFormat="1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10" fontId="0" fillId="5" borderId="0" xfId="0" applyNumberFormat="1" applyFill="1" applyAlignment="1">
      <alignment vertical="center"/>
    </xf>
    <xf numFmtId="10" fontId="3" fillId="5" borderId="0" xfId="0" applyNumberFormat="1" applyFont="1" applyFill="1" applyAlignment="1">
      <alignment vertical="center"/>
    </xf>
    <xf numFmtId="10" fontId="3" fillId="5" borderId="13" xfId="0" applyNumberFormat="1" applyFont="1" applyFill="1" applyBorder="1" applyAlignment="1">
      <alignment horizontal="center" vertical="center"/>
    </xf>
    <xf numFmtId="10" fontId="3" fillId="5" borderId="2" xfId="0" applyNumberFormat="1" applyFont="1" applyFill="1" applyBorder="1" applyAlignment="1">
      <alignment vertical="center"/>
    </xf>
    <xf numFmtId="165" fontId="3" fillId="5" borderId="2" xfId="0" applyNumberFormat="1" applyFont="1" applyFill="1" applyBorder="1" applyAlignment="1">
      <alignment vertical="center"/>
    </xf>
    <xf numFmtId="165" fontId="4" fillId="6" borderId="2" xfId="1" applyNumberFormat="1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5" fontId="3" fillId="3" borderId="2" xfId="1" applyNumberFormat="1" applyFont="1" applyFill="1" applyBorder="1" applyAlignment="1">
      <alignment vertical="center"/>
    </xf>
    <xf numFmtId="165" fontId="4" fillId="3" borderId="2" xfId="1" applyNumberFormat="1" applyFont="1" applyFill="1" applyBorder="1" applyAlignment="1">
      <alignment vertical="center"/>
    </xf>
    <xf numFmtId="165" fontId="3" fillId="4" borderId="2" xfId="1" applyNumberFormat="1" applyFont="1" applyFill="1" applyBorder="1" applyAlignment="1">
      <alignment vertical="center"/>
    </xf>
    <xf numFmtId="165" fontId="3" fillId="6" borderId="2" xfId="1" applyNumberFormat="1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 wrapText="1"/>
    </xf>
    <xf numFmtId="3" fontId="3" fillId="6" borderId="2" xfId="0" applyNumberFormat="1" applyFont="1" applyFill="1" applyBorder="1" applyAlignment="1">
      <alignment vertical="center"/>
    </xf>
    <xf numFmtId="10" fontId="3" fillId="6" borderId="2" xfId="0" applyNumberFormat="1" applyFont="1" applyFill="1" applyBorder="1" applyAlignment="1">
      <alignment vertical="center"/>
    </xf>
    <xf numFmtId="165" fontId="3" fillId="6" borderId="2" xfId="0" applyNumberFormat="1" applyFont="1" applyFill="1" applyBorder="1" applyAlignment="1">
      <alignment vertical="center"/>
    </xf>
    <xf numFmtId="3" fontId="3" fillId="5" borderId="13" xfId="0" applyNumberFormat="1" applyFont="1" applyFill="1" applyBorder="1" applyAlignment="1">
      <alignment horizontal="center" vertical="center"/>
    </xf>
    <xf numFmtId="3" fontId="3" fillId="5" borderId="0" xfId="0" applyNumberFormat="1" applyFont="1" applyFill="1" applyAlignment="1">
      <alignment vertical="center"/>
    </xf>
    <xf numFmtId="3" fontId="4" fillId="5" borderId="2" xfId="0" applyNumberFormat="1" applyFont="1" applyFill="1" applyBorder="1" applyAlignment="1">
      <alignment vertical="center"/>
    </xf>
    <xf numFmtId="3" fontId="0" fillId="5" borderId="0" xfId="0" applyNumberFormat="1" applyFill="1" applyAlignment="1">
      <alignment vertical="center"/>
    </xf>
    <xf numFmtId="0" fontId="3" fillId="6" borderId="2" xfId="0" applyFont="1" applyFill="1" applyBorder="1" applyAlignment="1">
      <alignment horizontal="left" vertical="center" wrapText="1"/>
    </xf>
    <xf numFmtId="4" fontId="3" fillId="6" borderId="2" xfId="0" applyNumberFormat="1" applyFont="1" applyFill="1" applyBorder="1" applyAlignment="1">
      <alignment vertical="center"/>
    </xf>
    <xf numFmtId="3" fontId="3" fillId="6" borderId="2" xfId="0" applyNumberFormat="1" applyFont="1" applyFill="1" applyBorder="1" applyAlignment="1">
      <alignment vertical="center" wrapText="1"/>
    </xf>
    <xf numFmtId="165" fontId="4" fillId="0" borderId="2" xfId="1" applyNumberFormat="1" applyFont="1" applyFill="1" applyBorder="1" applyAlignment="1">
      <alignment vertical="center"/>
    </xf>
    <xf numFmtId="9" fontId="4" fillId="0" borderId="1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165" fontId="3" fillId="0" borderId="17" xfId="1" applyNumberFormat="1" applyFont="1" applyBorder="1" applyAlignment="1">
      <alignment vertical="center"/>
    </xf>
    <xf numFmtId="165" fontId="3" fillId="6" borderId="18" xfId="1" applyNumberFormat="1" applyFont="1" applyFill="1" applyBorder="1" applyAlignment="1">
      <alignment vertical="center"/>
    </xf>
    <xf numFmtId="165" fontId="3" fillId="0" borderId="18" xfId="1" applyNumberFormat="1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165" fontId="3" fillId="0" borderId="18" xfId="1" applyNumberFormat="1" applyFont="1" applyBorder="1" applyAlignment="1">
      <alignment vertical="center"/>
    </xf>
    <xf numFmtId="165" fontId="3" fillId="0" borderId="17" xfId="1" applyNumberFormat="1" applyFont="1" applyBorder="1" applyAlignment="1">
      <alignment vertical="center" wrapText="1"/>
    </xf>
    <xf numFmtId="165" fontId="3" fillId="0" borderId="19" xfId="1" applyNumberFormat="1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0" fillId="0" borderId="18" xfId="0" applyBorder="1"/>
    <xf numFmtId="165" fontId="3" fillId="6" borderId="18" xfId="1" applyNumberFormat="1" applyFont="1" applyFill="1" applyBorder="1" applyAlignment="1">
      <alignment vertical="center" wrapText="1"/>
    </xf>
    <xf numFmtId="0" fontId="0" fillId="0" borderId="19" xfId="0" applyBorder="1"/>
    <xf numFmtId="0" fontId="3" fillId="0" borderId="17" xfId="0" applyFont="1" applyBorder="1"/>
    <xf numFmtId="165" fontId="3" fillId="0" borderId="20" xfId="1" applyNumberFormat="1" applyFont="1" applyBorder="1" applyAlignment="1">
      <alignment vertical="center" wrapText="1"/>
    </xf>
    <xf numFmtId="3" fontId="11" fillId="0" borderId="0" xfId="2" applyNumberFormat="1" applyFont="1" applyAlignment="1">
      <alignment vertical="center"/>
    </xf>
    <xf numFmtId="0" fontId="10" fillId="0" borderId="0" xfId="2"/>
    <xf numFmtId="0" fontId="4" fillId="3" borderId="1" xfId="2" applyFont="1" applyFill="1" applyBorder="1" applyAlignment="1">
      <alignment vertical="center" wrapText="1"/>
    </xf>
    <xf numFmtId="3" fontId="4" fillId="3" borderId="0" xfId="2" applyNumberFormat="1" applyFont="1" applyFill="1" applyAlignment="1">
      <alignment vertical="center" wrapText="1"/>
    </xf>
    <xf numFmtId="165" fontId="3" fillId="0" borderId="1" xfId="3" applyNumberFormat="1" applyFont="1" applyBorder="1" applyAlignment="1">
      <alignment vertical="center" wrapText="1"/>
    </xf>
    <xf numFmtId="0" fontId="12" fillId="0" borderId="21" xfId="2" applyFont="1" applyBorder="1" applyAlignment="1">
      <alignment vertical="center"/>
    </xf>
    <xf numFmtId="3" fontId="12" fillId="0" borderId="21" xfId="4" applyNumberFormat="1" applyFont="1" applyFill="1" applyBorder="1" applyAlignment="1">
      <alignment vertical="center"/>
    </xf>
    <xf numFmtId="166" fontId="12" fillId="0" borderId="21" xfId="4" applyNumberFormat="1" applyFont="1" applyFill="1" applyBorder="1" applyAlignment="1">
      <alignment vertical="center"/>
    </xf>
    <xf numFmtId="0" fontId="12" fillId="0" borderId="21" xfId="2" applyFont="1" applyBorder="1" applyAlignment="1">
      <alignment vertical="center" wrapText="1"/>
    </xf>
    <xf numFmtId="0" fontId="11" fillId="0" borderId="21" xfId="2" applyFont="1" applyBorder="1" applyAlignment="1">
      <alignment vertical="center"/>
    </xf>
    <xf numFmtId="3" fontId="11" fillId="0" borderId="21" xfId="2" applyNumberFormat="1" applyFont="1" applyBorder="1" applyAlignment="1">
      <alignment vertical="center"/>
    </xf>
    <xf numFmtId="0" fontId="11" fillId="0" borderId="21" xfId="2" applyFont="1" applyBorder="1" applyAlignment="1">
      <alignment vertical="center" wrapText="1"/>
    </xf>
    <xf numFmtId="0" fontId="13" fillId="0" borderId="21" xfId="2" applyFont="1" applyBorder="1" applyAlignment="1">
      <alignment vertical="center"/>
    </xf>
    <xf numFmtId="166" fontId="13" fillId="0" borderId="21" xfId="4" applyNumberFormat="1" applyFont="1" applyFill="1" applyBorder="1" applyAlignment="1">
      <alignment vertical="center"/>
    </xf>
    <xf numFmtId="0" fontId="13" fillId="0" borderId="21" xfId="4" applyNumberFormat="1" applyFont="1" applyFill="1" applyBorder="1" applyAlignment="1">
      <alignment vertical="center"/>
    </xf>
    <xf numFmtId="166" fontId="13" fillId="0" borderId="21" xfId="2" applyNumberFormat="1" applyFont="1" applyBorder="1" applyAlignment="1">
      <alignment vertical="center"/>
    </xf>
    <xf numFmtId="166" fontId="11" fillId="0" borderId="21" xfId="2" applyNumberFormat="1" applyFont="1" applyBorder="1" applyAlignment="1">
      <alignment vertical="center"/>
    </xf>
    <xf numFmtId="14" fontId="13" fillId="0" borderId="21" xfId="2" applyNumberFormat="1" applyFont="1" applyBorder="1" applyAlignment="1">
      <alignment vertical="center"/>
    </xf>
    <xf numFmtId="166" fontId="11" fillId="0" borderId="21" xfId="2" applyNumberFormat="1" applyFont="1" applyBorder="1" applyAlignment="1">
      <alignment horizontal="right" vertical="center"/>
    </xf>
    <xf numFmtId="0" fontId="11" fillId="0" borderId="0" xfId="2" applyFont="1" applyAlignment="1">
      <alignment vertical="center" wrapText="1"/>
    </xf>
    <xf numFmtId="0" fontId="10" fillId="0" borderId="0" xfId="2" applyAlignment="1">
      <alignment wrapText="1"/>
    </xf>
    <xf numFmtId="0" fontId="11" fillId="0" borderId="0" xfId="0" applyFont="1"/>
    <xf numFmtId="167" fontId="13" fillId="0" borderId="21" xfId="4" applyNumberFormat="1" applyFont="1" applyFill="1" applyBorder="1" applyAlignment="1">
      <alignment vertical="center"/>
    </xf>
    <xf numFmtId="4" fontId="11" fillId="0" borderId="0" xfId="2" applyNumberFormat="1" applyFont="1" applyAlignment="1">
      <alignment vertical="center"/>
    </xf>
    <xf numFmtId="4" fontId="10" fillId="0" borderId="0" xfId="2" applyNumberFormat="1"/>
    <xf numFmtId="1" fontId="11" fillId="0" borderId="0" xfId="2" applyNumberFormat="1" applyFont="1" applyAlignment="1">
      <alignment vertical="center"/>
    </xf>
    <xf numFmtId="168" fontId="4" fillId="3" borderId="0" xfId="2" applyNumberFormat="1" applyFont="1" applyFill="1" applyAlignment="1">
      <alignment vertical="center" wrapText="1"/>
    </xf>
    <xf numFmtId="168" fontId="10" fillId="0" borderId="0" xfId="2" applyNumberFormat="1"/>
    <xf numFmtId="9" fontId="10" fillId="0" borderId="0" xfId="2" applyNumberFormat="1"/>
    <xf numFmtId="0" fontId="11" fillId="0" borderId="21" xfId="0" applyFont="1" applyBorder="1" applyAlignment="1">
      <alignment vertical="center"/>
    </xf>
    <xf numFmtId="3" fontId="11" fillId="0" borderId="21" xfId="0" applyNumberFormat="1" applyFont="1" applyBorder="1" applyAlignment="1">
      <alignment vertical="center"/>
    </xf>
    <xf numFmtId="0" fontId="11" fillId="0" borderId="21" xfId="0" applyFont="1" applyBorder="1" applyAlignment="1">
      <alignment vertical="center" wrapText="1"/>
    </xf>
    <xf numFmtId="166" fontId="11" fillId="0" borderId="21" xfId="0" applyNumberFormat="1" applyFont="1" applyBorder="1" applyAlignment="1">
      <alignment horizontal="right" vertical="center"/>
    </xf>
    <xf numFmtId="3" fontId="11" fillId="0" borderId="21" xfId="0" applyNumberFormat="1" applyFont="1" applyBorder="1" applyAlignment="1">
      <alignment horizontal="right" vertical="center"/>
    </xf>
    <xf numFmtId="166" fontId="12" fillId="0" borderId="21" xfId="4" applyNumberFormat="1" applyFont="1" applyFill="1" applyBorder="1" applyAlignment="1">
      <alignment horizontal="right" vertical="center"/>
    </xf>
    <xf numFmtId="166" fontId="13" fillId="0" borderId="21" xfId="4" applyNumberFormat="1" applyFont="1" applyFill="1" applyBorder="1" applyAlignment="1">
      <alignment horizontal="right" vertical="center"/>
    </xf>
    <xf numFmtId="166" fontId="13" fillId="0" borderId="21" xfId="2" applyNumberFormat="1" applyFont="1" applyBorder="1" applyAlignment="1">
      <alignment horizontal="right" vertical="center"/>
    </xf>
    <xf numFmtId="0" fontId="15" fillId="0" borderId="21" xfId="0" applyFont="1" applyBorder="1"/>
    <xf numFmtId="0" fontId="15" fillId="0" borderId="22" xfId="0" applyFont="1" applyBorder="1"/>
    <xf numFmtId="14" fontId="15" fillId="0" borderId="22" xfId="0" applyNumberFormat="1" applyFont="1" applyBorder="1"/>
    <xf numFmtId="0" fontId="15" fillId="0" borderId="22" xfId="0" applyFont="1" applyBorder="1" applyAlignment="1">
      <alignment wrapText="1"/>
    </xf>
    <xf numFmtId="0" fontId="15" fillId="0" borderId="23" xfId="0" applyFont="1" applyBorder="1"/>
    <xf numFmtId="0" fontId="15" fillId="0" borderId="24" xfId="0" applyFont="1" applyBorder="1"/>
    <xf numFmtId="0" fontId="15" fillId="0" borderId="24" xfId="0" applyFont="1" applyBorder="1" applyAlignment="1">
      <alignment wrapText="1"/>
    </xf>
    <xf numFmtId="167" fontId="11" fillId="0" borderId="21" xfId="0" applyNumberFormat="1" applyFont="1" applyBorder="1" applyAlignment="1">
      <alignment vertical="center"/>
    </xf>
    <xf numFmtId="0" fontId="11" fillId="6" borderId="21" xfId="0" applyFont="1" applyFill="1" applyBorder="1" applyAlignment="1">
      <alignment vertical="center"/>
    </xf>
    <xf numFmtId="3" fontId="11" fillId="6" borderId="21" xfId="0" applyNumberFormat="1" applyFont="1" applyFill="1" applyBorder="1" applyAlignment="1">
      <alignment vertical="center"/>
    </xf>
    <xf numFmtId="166" fontId="11" fillId="6" borderId="21" xfId="0" applyNumberFormat="1" applyFont="1" applyFill="1" applyBorder="1" applyAlignment="1">
      <alignment horizontal="right" vertical="center"/>
    </xf>
    <xf numFmtId="166" fontId="11" fillId="6" borderId="21" xfId="2" applyNumberFormat="1" applyFont="1" applyFill="1" applyBorder="1" applyAlignment="1">
      <alignment vertical="center"/>
    </xf>
    <xf numFmtId="0" fontId="11" fillId="6" borderId="21" xfId="2" applyFont="1" applyFill="1" applyBorder="1" applyAlignment="1">
      <alignment vertical="center"/>
    </xf>
    <xf numFmtId="0" fontId="11" fillId="6" borderId="21" xfId="2" applyFont="1" applyFill="1" applyBorder="1" applyAlignment="1">
      <alignment vertical="center" wrapText="1"/>
    </xf>
    <xf numFmtId="0" fontId="13" fillId="0" borderId="21" xfId="2" applyFont="1" applyBorder="1" applyAlignment="1">
      <alignment vertical="center" wrapText="1"/>
    </xf>
    <xf numFmtId="165" fontId="13" fillId="0" borderId="18" xfId="1" applyNumberFormat="1" applyFont="1" applyBorder="1" applyAlignment="1">
      <alignment vertical="center" wrapText="1"/>
    </xf>
    <xf numFmtId="0" fontId="20" fillId="0" borderId="21" xfId="2" applyFont="1" applyBorder="1" applyAlignment="1">
      <alignment vertical="center"/>
    </xf>
    <xf numFmtId="0" fontId="13" fillId="0" borderId="18" xfId="0" applyFont="1" applyBorder="1" applyAlignment="1">
      <alignment vertical="center" wrapText="1"/>
    </xf>
    <xf numFmtId="165" fontId="13" fillId="0" borderId="17" xfId="1" applyNumberFormat="1" applyFont="1" applyBorder="1" applyAlignment="1">
      <alignment vertical="center"/>
    </xf>
    <xf numFmtId="165" fontId="13" fillId="0" borderId="18" xfId="1" applyNumberFormat="1" applyFont="1" applyBorder="1" applyAlignment="1">
      <alignment vertical="center"/>
    </xf>
    <xf numFmtId="165" fontId="13" fillId="0" borderId="17" xfId="1" applyNumberFormat="1" applyFont="1" applyBorder="1" applyAlignment="1">
      <alignment vertical="center" wrapText="1"/>
    </xf>
    <xf numFmtId="0" fontId="13" fillId="0" borderId="21" xfId="0" applyFont="1" applyBorder="1" applyAlignment="1">
      <alignment vertical="center"/>
    </xf>
    <xf numFmtId="0" fontId="13" fillId="0" borderId="21" xfId="5" applyFont="1" applyBorder="1" applyAlignment="1">
      <alignment horizontal="left" vertical="center"/>
    </xf>
    <xf numFmtId="165" fontId="13" fillId="6" borderId="18" xfId="1" applyNumberFormat="1" applyFont="1" applyFill="1" applyBorder="1" applyAlignment="1">
      <alignment vertical="center"/>
    </xf>
    <xf numFmtId="3" fontId="13" fillId="0" borderId="21" xfId="2" applyNumberFormat="1" applyFont="1" applyBorder="1" applyAlignment="1">
      <alignment vertical="center"/>
    </xf>
    <xf numFmtId="0" fontId="13" fillId="6" borderId="21" xfId="4" applyNumberFormat="1" applyFont="1" applyFill="1" applyBorder="1" applyAlignment="1">
      <alignment vertical="center"/>
    </xf>
    <xf numFmtId="166" fontId="13" fillId="0" borderId="21" xfId="2" applyNumberFormat="1" applyFont="1" applyBorder="1" applyAlignment="1">
      <alignment horizontal="left" vertical="center"/>
    </xf>
    <xf numFmtId="167" fontId="15" fillId="0" borderId="24" xfId="0" applyNumberFormat="1" applyFont="1" applyBorder="1"/>
    <xf numFmtId="167" fontId="15" fillId="0" borderId="22" xfId="0" applyNumberFormat="1" applyFont="1" applyBorder="1"/>
    <xf numFmtId="0" fontId="15" fillId="0" borderId="21" xfId="2" applyFont="1" applyBorder="1" applyAlignment="1">
      <alignment vertical="center"/>
    </xf>
    <xf numFmtId="166" fontId="15" fillId="0" borderId="21" xfId="2" applyNumberFormat="1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167" fontId="15" fillId="0" borderId="21" xfId="4" applyNumberFormat="1" applyFont="1" applyFill="1" applyBorder="1" applyAlignment="1">
      <alignment vertical="center"/>
    </xf>
    <xf numFmtId="166" fontId="15" fillId="0" borderId="21" xfId="2" applyNumberFormat="1" applyFont="1" applyBorder="1" applyAlignment="1">
      <alignment horizontal="right" vertical="center"/>
    </xf>
    <xf numFmtId="165" fontId="15" fillId="0" borderId="18" xfId="1" applyNumberFormat="1" applyFont="1" applyBorder="1" applyAlignment="1">
      <alignment vertical="center" wrapText="1"/>
    </xf>
    <xf numFmtId="167" fontId="11" fillId="0" borderId="21" xfId="2" applyNumberFormat="1" applyFont="1" applyBorder="1" applyAlignment="1">
      <alignment vertical="center"/>
    </xf>
    <xf numFmtId="0" fontId="14" fillId="0" borderId="22" xfId="0" applyFont="1" applyBorder="1"/>
    <xf numFmtId="0" fontId="14" fillId="0" borderId="24" xfId="0" applyFont="1" applyBorder="1"/>
    <xf numFmtId="0" fontId="14" fillId="0" borderId="21" xfId="2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167" fontId="11" fillId="0" borderId="22" xfId="0" applyNumberFormat="1" applyFont="1" applyBorder="1" applyAlignment="1">
      <alignment vertical="center"/>
    </xf>
    <xf numFmtId="166" fontId="11" fillId="0" borderId="22" xfId="0" applyNumberFormat="1" applyFont="1" applyBorder="1" applyAlignment="1">
      <alignment horizontal="right" vertical="center"/>
    </xf>
    <xf numFmtId="0" fontId="11" fillId="0" borderId="22" xfId="0" applyFont="1" applyBorder="1" applyAlignment="1">
      <alignment vertical="center" wrapText="1"/>
    </xf>
    <xf numFmtId="0" fontId="21" fillId="0" borderId="0" xfId="0" applyFont="1"/>
    <xf numFmtId="169" fontId="11" fillId="0" borderId="21" xfId="2" applyNumberFormat="1" applyFont="1" applyBorder="1" applyAlignment="1">
      <alignment vertical="center"/>
    </xf>
    <xf numFmtId="0" fontId="22" fillId="0" borderId="0" xfId="0" applyFont="1"/>
    <xf numFmtId="0" fontId="11" fillId="0" borderId="21" xfId="2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6" fontId="11" fillId="0" borderId="25" xfId="2" applyNumberFormat="1" applyFont="1" applyBorder="1" applyAlignment="1">
      <alignment horizontal="left" vertical="center" wrapText="1"/>
    </xf>
    <xf numFmtId="166" fontId="11" fillId="0" borderId="26" xfId="2" applyNumberFormat="1" applyFont="1" applyBorder="1" applyAlignment="1">
      <alignment horizontal="left" vertical="center" wrapText="1"/>
    </xf>
    <xf numFmtId="166" fontId="11" fillId="0" borderId="23" xfId="2" applyNumberFormat="1" applyFont="1" applyBorder="1" applyAlignment="1">
      <alignment horizontal="left" vertical="center" wrapText="1"/>
    </xf>
    <xf numFmtId="165" fontId="15" fillId="0" borderId="25" xfId="1" applyNumberFormat="1" applyFont="1" applyBorder="1" applyAlignment="1">
      <alignment horizontal="left" vertical="center" wrapText="1"/>
    </xf>
    <xf numFmtId="165" fontId="15" fillId="0" borderId="26" xfId="1" applyNumberFormat="1" applyFont="1" applyBorder="1" applyAlignment="1">
      <alignment horizontal="left" vertical="center" wrapText="1"/>
    </xf>
    <xf numFmtId="165" fontId="15" fillId="0" borderId="23" xfId="1" applyNumberFormat="1" applyFont="1" applyBorder="1" applyAlignment="1">
      <alignment horizontal="left" vertical="center" wrapText="1"/>
    </xf>
    <xf numFmtId="0" fontId="11" fillId="0" borderId="25" xfId="2" applyFont="1" applyBorder="1" applyAlignment="1">
      <alignment horizontal="left" vertical="center" wrapText="1"/>
    </xf>
    <xf numFmtId="0" fontId="11" fillId="0" borderId="26" xfId="2" applyFont="1" applyBorder="1" applyAlignment="1">
      <alignment horizontal="left" vertical="center" wrapText="1"/>
    </xf>
    <xf numFmtId="0" fontId="11" fillId="0" borderId="23" xfId="2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173" fontId="11" fillId="0" borderId="21" xfId="2" applyNumberFormat="1" applyFont="1" applyBorder="1" applyAlignment="1">
      <alignment vertical="center"/>
    </xf>
  </cellXfs>
  <cellStyles count="6">
    <cellStyle name="Comma" xfId="1" builtinId="3"/>
    <cellStyle name="Comma 2" xfId="3" xr:uid="{C360A127-1AD5-4F7F-9D9F-54CC258C24E5}"/>
    <cellStyle name="Currency 2" xfId="4" xr:uid="{41908C59-8CC4-4E2B-9286-CF89852EDC76}"/>
    <cellStyle name="Normal" xfId="0" builtinId="0"/>
    <cellStyle name="Normal 2" xfId="2" xr:uid="{914D77FC-C1DD-477B-A9C3-84E4B713ECCC}"/>
    <cellStyle name="Normal 9_Payment request form_phong" xfId="5" xr:uid="{491031B1-7CD8-4C35-8BC8-635D8DF80C11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ld%20Bailey\CorpFin\Financial%20modelling\_2010%20Engagements\2010%20-%20Brighton%20&amp;%20Hove%20Seaside%20-%20Advisory\Copy%20of%20BHSCH%20Model%20Phased%20v5%201%20Sensitivities%20Updated%2022%2010%2010%20v14%20(Phase%201%20updat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ld%20Bailey\CorpFin\Financial%20modelling\_2012%20Engagements\ICAEW\Best%20practice%20note%20graph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shboard"/>
      <sheetName val="Scenario picker"/>
      <sheetName val="StaticInputs"/>
      <sheetName val="CommonCalculations"/>
      <sheetName val="PhaseStart&gt;"/>
      <sheetName val="Phase (1)"/>
      <sheetName val="Phase (2)"/>
      <sheetName val="Phase (3)"/>
      <sheetName val="Phase (4)"/>
      <sheetName val="Phase (5)"/>
      <sheetName val="Phase (6)"/>
      <sheetName val="Phase (7)"/>
      <sheetName val="Phase (8)"/>
      <sheetName val="Phase (9)"/>
      <sheetName val="Phase (10)"/>
      <sheetName val="&lt;PhaseEnd"/>
      <sheetName val="Calculations"/>
      <sheetName val="Outputs"/>
      <sheetName val="Qu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1"/>
      <sheetName val="Fig 2"/>
      <sheetName val="Fig 3"/>
      <sheetName val="Fig 4"/>
      <sheetName val="Fig 5"/>
      <sheetName val="Fig 6"/>
      <sheetName val="Fig 7"/>
      <sheetName val="Fig 8"/>
      <sheetName val="Fig 9"/>
      <sheetName val="Fig 10"/>
      <sheetName val="Fig 11"/>
      <sheetName val="Fig 12"/>
      <sheetName val="Fig 13"/>
      <sheetName val="Fig 14"/>
      <sheetName val="Fig 15"/>
      <sheetName val="Fig 16"/>
      <sheetName val="Fig 17"/>
      <sheetName val="Fig 18"/>
      <sheetName val="Fig 19"/>
      <sheetName val="Fig 20"/>
      <sheetName val="Fig 21"/>
      <sheetName val="Fig 22"/>
      <sheetName val="Fig 23"/>
      <sheetName val="Fig 24"/>
      <sheetName val="Fig 25"/>
      <sheetName val="Fig 25 data"/>
      <sheetName val="Fig 26"/>
      <sheetName val="Fig 27"/>
      <sheetName val="Fig 28"/>
      <sheetName val="Fig 29"/>
      <sheetName val="Fig 30 - old"/>
      <sheetName val="Fig 30 - new"/>
      <sheetName val="Fig 31"/>
      <sheetName val="Fig 32"/>
      <sheetName val="Fig 33"/>
      <sheetName val="Fig 34"/>
      <sheetName val="Fig 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D809-0FCA-45A8-8FAA-24958E6BB519}">
  <dimension ref="A1:R44"/>
  <sheetViews>
    <sheetView showGridLines="0" zoomScaleNormal="100" workbookViewId="0">
      <pane xSplit="2" ySplit="2" topLeftCell="J22" activePane="bottomRight" state="frozen"/>
      <selection pane="topRight" activeCell="C1" sqref="C1"/>
      <selection pane="bottomLeft" activeCell="A3" sqref="A3"/>
      <selection pane="bottomRight" activeCell="J23" sqref="J23"/>
    </sheetView>
  </sheetViews>
  <sheetFormatPr defaultRowHeight="15" x14ac:dyDescent="0.25"/>
  <cols>
    <col min="1" max="1" width="26" customWidth="1"/>
    <col min="2" max="2" width="30.42578125" style="36" customWidth="1"/>
    <col min="3" max="3" width="17.28515625" style="36" customWidth="1"/>
    <col min="4" max="5" width="15.28515625" style="36" customWidth="1"/>
    <col min="6" max="6" width="12.7109375" style="36" customWidth="1"/>
    <col min="7" max="7" width="15.28515625" style="36" customWidth="1"/>
    <col min="8" max="11" width="14" style="72" customWidth="1"/>
    <col min="12" max="12" width="19.5703125" style="36" customWidth="1"/>
    <col min="13" max="13" width="29.28515625" style="36" customWidth="1"/>
    <col min="14" max="14" width="30.28515625" style="64" customWidth="1"/>
    <col min="15" max="15" width="19" style="44" customWidth="1"/>
    <col min="16" max="16" width="18.28515625" style="44" customWidth="1"/>
    <col min="17" max="17" width="30.28515625" style="64" customWidth="1"/>
    <col min="18" max="18" width="30.28515625" style="43" customWidth="1"/>
  </cols>
  <sheetData>
    <row r="1" spans="1:18" x14ac:dyDescent="0.25">
      <c r="B1" s="174" t="s">
        <v>0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</row>
    <row r="2" spans="1:18" s="2" customFormat="1" ht="14.65" customHeight="1" x14ac:dyDescent="0.2">
      <c r="B2" s="37"/>
      <c r="C2" s="176" t="s">
        <v>1</v>
      </c>
      <c r="D2" s="177"/>
      <c r="E2" s="178"/>
      <c r="F2" s="179" t="s">
        <v>2</v>
      </c>
      <c r="G2" s="180"/>
      <c r="H2" s="180"/>
      <c r="I2" s="180"/>
      <c r="J2" s="180"/>
      <c r="K2" s="180"/>
      <c r="L2" s="180"/>
      <c r="M2" s="180"/>
      <c r="N2" s="181"/>
      <c r="O2" s="45"/>
      <c r="P2" s="45"/>
      <c r="Q2" s="62"/>
      <c r="R2" s="40"/>
    </row>
    <row r="3" spans="1:18" s="2" customFormat="1" ht="14.65" customHeight="1" x14ac:dyDescent="0.2">
      <c r="B3" s="33"/>
      <c r="C3" s="50" t="s">
        <v>3</v>
      </c>
      <c r="D3" s="50" t="s">
        <v>4</v>
      </c>
      <c r="E3" s="182" t="s">
        <v>5</v>
      </c>
      <c r="F3" s="184" t="s">
        <v>6</v>
      </c>
      <c r="G3" s="185"/>
      <c r="H3" s="185"/>
      <c r="I3" s="185"/>
      <c r="J3" s="185"/>
      <c r="K3" s="185"/>
      <c r="L3" s="185"/>
      <c r="M3" s="185"/>
      <c r="N3" s="186"/>
      <c r="O3" s="45"/>
      <c r="P3" s="45"/>
      <c r="Q3" s="62"/>
      <c r="R3" s="40"/>
    </row>
    <row r="4" spans="1:18" s="2" customFormat="1" ht="12.75" x14ac:dyDescent="0.2">
      <c r="B4" s="33"/>
      <c r="C4" s="51"/>
      <c r="D4" s="51"/>
      <c r="E4" s="183"/>
      <c r="F4" s="31" t="s">
        <v>7</v>
      </c>
      <c r="G4" s="31" t="s">
        <v>8</v>
      </c>
      <c r="H4" s="69" t="s">
        <v>9</v>
      </c>
      <c r="I4" s="69" t="s">
        <v>10</v>
      </c>
      <c r="J4" s="69" t="s">
        <v>9</v>
      </c>
      <c r="K4" s="69" t="s">
        <v>10</v>
      </c>
      <c r="L4" s="31" t="s">
        <v>11</v>
      </c>
      <c r="M4" s="31" t="s">
        <v>12</v>
      </c>
      <c r="N4" s="61" t="s">
        <v>13</v>
      </c>
      <c r="O4" s="46"/>
      <c r="P4" s="46"/>
      <c r="Q4" s="61"/>
      <c r="R4" s="38"/>
    </row>
    <row r="5" spans="1:18" s="2" customFormat="1" ht="26.65" customHeight="1" x14ac:dyDescent="0.2">
      <c r="B5" s="7" t="s">
        <v>14</v>
      </c>
      <c r="C5" s="32"/>
      <c r="D5" s="32"/>
      <c r="E5" s="52">
        <v>0</v>
      </c>
      <c r="F5" s="52">
        <v>0</v>
      </c>
      <c r="G5" s="32"/>
      <c r="H5" s="70" t="s">
        <v>15</v>
      </c>
      <c r="I5" s="70" t="s">
        <v>15</v>
      </c>
      <c r="J5" s="70" t="s">
        <v>16</v>
      </c>
      <c r="K5" s="70" t="s">
        <v>16</v>
      </c>
      <c r="L5" s="32"/>
      <c r="M5" s="32"/>
      <c r="N5" s="41" t="s">
        <v>17</v>
      </c>
      <c r="O5" s="47" t="s">
        <v>18</v>
      </c>
      <c r="P5" s="47" t="s">
        <v>19</v>
      </c>
      <c r="Q5" s="41" t="s">
        <v>20</v>
      </c>
      <c r="R5" s="39" t="s">
        <v>21</v>
      </c>
    </row>
    <row r="6" spans="1:18" s="2" customFormat="1" ht="7.9" customHeight="1" x14ac:dyDescent="0.2">
      <c r="B6" s="20"/>
      <c r="C6" s="33"/>
      <c r="D6" s="33"/>
      <c r="E6" s="33"/>
      <c r="F6" s="33"/>
      <c r="G6" s="33"/>
      <c r="H6" s="70"/>
      <c r="I6" s="71"/>
      <c r="J6" s="71"/>
      <c r="K6" s="71"/>
      <c r="L6" s="21"/>
      <c r="M6" s="21"/>
      <c r="N6" s="62"/>
      <c r="O6" s="45"/>
      <c r="P6" s="45"/>
      <c r="Q6" s="62"/>
      <c r="R6" s="40"/>
    </row>
    <row r="7" spans="1:18" s="2" customFormat="1" ht="25.5" x14ac:dyDescent="0.2">
      <c r="A7" s="73" t="s">
        <v>22</v>
      </c>
      <c r="B7" s="7"/>
      <c r="C7" s="53">
        <f>SUBTOTAL(9,C8:C15)</f>
        <v>419640000</v>
      </c>
      <c r="D7" s="53">
        <f>SUBTOTAL(9,D8:D15)</f>
        <v>1781880564</v>
      </c>
      <c r="E7" s="53">
        <f>SUBTOTAL(9,E8:E15)</f>
        <v>0</v>
      </c>
      <c r="F7" s="53"/>
      <c r="G7" s="53"/>
      <c r="H7" s="68"/>
      <c r="I7" s="68"/>
      <c r="J7" s="68">
        <f>SUM(H8:H15)</f>
        <v>1543542000</v>
      </c>
      <c r="K7" s="68">
        <f>J7</f>
        <v>1543542000</v>
      </c>
      <c r="L7" s="32"/>
      <c r="M7" s="32"/>
      <c r="N7" s="41"/>
      <c r="O7" s="47">
        <f>N7/J7*100%</f>
        <v>0</v>
      </c>
      <c r="P7" s="47"/>
      <c r="Q7" s="41"/>
      <c r="R7" s="39"/>
    </row>
    <row r="8" spans="1:18" s="2" customFormat="1" ht="40.9" customHeight="1" x14ac:dyDescent="0.2">
      <c r="B8" s="81" t="s">
        <v>23</v>
      </c>
      <c r="C8" s="26"/>
      <c r="D8" s="26">
        <v>1341183666</v>
      </c>
      <c r="E8" s="26"/>
      <c r="F8" s="26">
        <v>105</v>
      </c>
      <c r="G8" s="26"/>
      <c r="H8" s="68">
        <v>959112000</v>
      </c>
      <c r="I8" s="68">
        <v>959112000</v>
      </c>
      <c r="J8" s="68"/>
      <c r="K8" s="68"/>
      <c r="L8" s="33" t="s">
        <v>24</v>
      </c>
      <c r="M8" s="27" t="s">
        <v>25</v>
      </c>
      <c r="N8" s="41">
        <f>Sum!B3</f>
        <v>0</v>
      </c>
      <c r="O8" s="47">
        <f>N8/H8</f>
        <v>0</v>
      </c>
      <c r="P8" s="47"/>
      <c r="Q8" s="41"/>
      <c r="R8" s="39" t="s">
        <v>26</v>
      </c>
    </row>
    <row r="9" spans="1:18" s="2" customFormat="1" ht="29.45" customHeight="1" x14ac:dyDescent="0.2">
      <c r="B9" s="76" t="s">
        <v>27</v>
      </c>
      <c r="C9" s="26">
        <v>126898000</v>
      </c>
      <c r="D9" s="26">
        <f>131944599</f>
        <v>131944599</v>
      </c>
      <c r="E9" s="26"/>
      <c r="F9" s="26"/>
      <c r="G9" s="26"/>
      <c r="H9" s="68">
        <v>129000000</v>
      </c>
      <c r="I9" s="68">
        <v>129000000</v>
      </c>
      <c r="J9" s="68"/>
      <c r="K9" s="68"/>
      <c r="L9" s="33" t="s">
        <v>28</v>
      </c>
      <c r="M9" s="11" t="s">
        <v>29</v>
      </c>
      <c r="N9" s="41">
        <f>Sum!B4</f>
        <v>117524160</v>
      </c>
      <c r="O9" s="47">
        <f t="shared" ref="O9:O15" si="0">N9/H9</f>
        <v>0.91103999999999996</v>
      </c>
      <c r="P9" s="48">
        <f>I9-N9</f>
        <v>11475840</v>
      </c>
      <c r="Q9" s="41"/>
      <c r="R9" s="39" t="s">
        <v>26</v>
      </c>
    </row>
    <row r="10" spans="1:18" s="2" customFormat="1" ht="40.9" customHeight="1" x14ac:dyDescent="0.2">
      <c r="B10" s="81" t="s">
        <v>30</v>
      </c>
      <c r="C10" s="26"/>
      <c r="D10" s="26"/>
      <c r="E10" s="26"/>
      <c r="F10" s="26">
        <v>90</v>
      </c>
      <c r="G10" s="26">
        <v>4000000</v>
      </c>
      <c r="H10" s="68"/>
      <c r="I10" s="68"/>
      <c r="J10" s="68"/>
      <c r="K10" s="68"/>
      <c r="L10" s="33" t="s">
        <v>31</v>
      </c>
      <c r="M10" s="11" t="s">
        <v>32</v>
      </c>
      <c r="N10" s="41">
        <f>Sum!B5</f>
        <v>0</v>
      </c>
      <c r="O10" s="47" t="e">
        <f t="shared" si="0"/>
        <v>#DIV/0!</v>
      </c>
      <c r="P10" s="48">
        <f t="shared" ref="P10:P44" si="1">I10-N10</f>
        <v>0</v>
      </c>
      <c r="Q10" s="41">
        <v>0</v>
      </c>
      <c r="R10" s="39" t="s">
        <v>33</v>
      </c>
    </row>
    <row r="11" spans="1:18" s="2" customFormat="1" ht="40.9" customHeight="1" x14ac:dyDescent="0.2">
      <c r="B11" s="81" t="s">
        <v>34</v>
      </c>
      <c r="C11" s="26">
        <f>246432000+17880000</f>
        <v>264312000</v>
      </c>
      <c r="D11" s="26">
        <f>264796700+11845599</f>
        <v>276642299</v>
      </c>
      <c r="E11" s="26"/>
      <c r="F11" s="26"/>
      <c r="G11" s="26"/>
      <c r="H11" s="68">
        <v>360000000</v>
      </c>
      <c r="I11" s="68">
        <v>360000000</v>
      </c>
      <c r="J11" s="68"/>
      <c r="K11" s="68"/>
      <c r="L11" s="33" t="s">
        <v>31</v>
      </c>
      <c r="M11" s="33"/>
      <c r="N11" s="41">
        <f>Sum!B6</f>
        <v>321936300</v>
      </c>
      <c r="O11" s="47">
        <f t="shared" si="0"/>
        <v>0.89426749999999999</v>
      </c>
      <c r="P11" s="48">
        <f t="shared" si="1"/>
        <v>38063700</v>
      </c>
      <c r="Q11" s="41"/>
      <c r="R11" s="39" t="s">
        <v>26</v>
      </c>
    </row>
    <row r="12" spans="1:18" s="2" customFormat="1" ht="21.6" customHeight="1" x14ac:dyDescent="0.2">
      <c r="B12" s="81" t="s">
        <v>35</v>
      </c>
      <c r="C12" s="26"/>
      <c r="D12" s="26">
        <v>0</v>
      </c>
      <c r="E12" s="26"/>
      <c r="F12" s="26" t="s">
        <v>36</v>
      </c>
      <c r="G12" s="26">
        <v>1800000</v>
      </c>
      <c r="H12" s="68">
        <v>27000000</v>
      </c>
      <c r="I12" s="68">
        <v>27000000</v>
      </c>
      <c r="J12" s="68"/>
      <c r="K12" s="68"/>
      <c r="L12" s="33" t="s">
        <v>31</v>
      </c>
      <c r="M12" s="33" t="s">
        <v>37</v>
      </c>
      <c r="N12" s="41">
        <f>Sum!B7</f>
        <v>12640000</v>
      </c>
      <c r="O12" s="47">
        <f t="shared" si="0"/>
        <v>0.46814814814814815</v>
      </c>
      <c r="P12" s="48">
        <f t="shared" si="1"/>
        <v>14360000</v>
      </c>
      <c r="Q12" s="41"/>
      <c r="R12" s="39" t="s">
        <v>26</v>
      </c>
    </row>
    <row r="13" spans="1:18" s="2" customFormat="1" ht="21" customHeight="1" x14ac:dyDescent="0.2">
      <c r="B13" s="81" t="s">
        <v>38</v>
      </c>
      <c r="C13" s="26">
        <v>28430000</v>
      </c>
      <c r="D13" s="26">
        <v>28430000</v>
      </c>
      <c r="E13" s="26"/>
      <c r="F13" s="26">
        <v>1</v>
      </c>
      <c r="G13" s="26">
        <v>22450000</v>
      </c>
      <c r="H13" s="68">
        <v>22450000</v>
      </c>
      <c r="I13" s="68">
        <v>22450000</v>
      </c>
      <c r="J13" s="68"/>
      <c r="K13" s="68"/>
      <c r="L13" s="33" t="s">
        <v>39</v>
      </c>
      <c r="M13" s="33" t="s">
        <v>40</v>
      </c>
      <c r="N13" s="41">
        <f>Sum!B8</f>
        <v>21990000</v>
      </c>
      <c r="O13" s="47">
        <f t="shared" si="0"/>
        <v>0.97951002227171491</v>
      </c>
      <c r="P13" s="48">
        <f t="shared" si="1"/>
        <v>460000</v>
      </c>
      <c r="Q13" s="41"/>
      <c r="R13" s="39" t="s">
        <v>26</v>
      </c>
    </row>
    <row r="14" spans="1:18" s="2" customFormat="1" ht="38.25" x14ac:dyDescent="0.2">
      <c r="B14" s="81" t="s">
        <v>41</v>
      </c>
      <c r="C14" s="26"/>
      <c r="D14" s="26">
        <v>3680000</v>
      </c>
      <c r="E14" s="26"/>
      <c r="F14" s="26"/>
      <c r="G14" s="26"/>
      <c r="H14" s="68">
        <v>40000000</v>
      </c>
      <c r="I14" s="68">
        <v>40000000</v>
      </c>
      <c r="J14" s="68"/>
      <c r="K14" s="68"/>
      <c r="L14" s="33" t="s">
        <v>28</v>
      </c>
      <c r="M14" s="33" t="s">
        <v>42</v>
      </c>
      <c r="N14" s="41">
        <f>Sum!B9</f>
        <v>0</v>
      </c>
      <c r="O14" s="47">
        <f t="shared" si="0"/>
        <v>0</v>
      </c>
      <c r="P14" s="48">
        <f t="shared" si="1"/>
        <v>40000000</v>
      </c>
      <c r="Q14" s="41"/>
      <c r="R14" s="39" t="s">
        <v>26</v>
      </c>
    </row>
    <row r="15" spans="1:18" s="2" customFormat="1" ht="47.45" customHeight="1" x14ac:dyDescent="0.2">
      <c r="B15" s="81" t="s">
        <v>43</v>
      </c>
      <c r="C15" s="26"/>
      <c r="D15" s="26"/>
      <c r="E15" s="26"/>
      <c r="F15" s="26">
        <v>2</v>
      </c>
      <c r="G15" s="26">
        <v>2990000</v>
      </c>
      <c r="H15" s="68">
        <f>F15*G15</f>
        <v>5980000</v>
      </c>
      <c r="I15" s="68">
        <v>5980000</v>
      </c>
      <c r="J15" s="68"/>
      <c r="K15" s="68"/>
      <c r="L15" s="33"/>
      <c r="M15" s="33"/>
      <c r="N15" s="41">
        <f>Sum!B10</f>
        <v>6720000</v>
      </c>
      <c r="O15" s="47">
        <f t="shared" si="0"/>
        <v>1.1237458193979932</v>
      </c>
      <c r="P15" s="48">
        <f t="shared" si="1"/>
        <v>-740000</v>
      </c>
      <c r="Q15" s="41"/>
      <c r="R15" s="39" t="s">
        <v>44</v>
      </c>
    </row>
    <row r="16" spans="1:18" s="14" customFormat="1" ht="25.5" x14ac:dyDescent="0.2">
      <c r="A16" s="7" t="s">
        <v>45</v>
      </c>
      <c r="B16" s="89"/>
      <c r="C16" s="53">
        <f t="shared" ref="C16:G16" si="2">SUBTOTAL(9,C17:C22)</f>
        <v>1656641250</v>
      </c>
      <c r="D16" s="53">
        <f t="shared" si="2"/>
        <v>824231946</v>
      </c>
      <c r="E16" s="53">
        <f t="shared" si="2"/>
        <v>0</v>
      </c>
      <c r="F16" s="53">
        <f t="shared" si="2"/>
        <v>123</v>
      </c>
      <c r="G16" s="53">
        <f t="shared" si="2"/>
        <v>80500000</v>
      </c>
      <c r="H16" s="68"/>
      <c r="I16" s="68"/>
      <c r="J16" s="68">
        <f>SUM(H17:H22)</f>
        <v>1716500000</v>
      </c>
      <c r="K16" s="68">
        <f>SUM(I17:I22)</f>
        <v>1888150000</v>
      </c>
      <c r="L16" s="34"/>
      <c r="M16" s="34"/>
      <c r="N16" s="41"/>
      <c r="O16" s="47">
        <f>N16/J16</f>
        <v>0</v>
      </c>
      <c r="P16" s="48">
        <f t="shared" si="1"/>
        <v>0</v>
      </c>
      <c r="Q16" s="63"/>
      <c r="R16" s="42"/>
    </row>
    <row r="17" spans="1:18" s="2" customFormat="1" ht="25.15" customHeight="1" x14ac:dyDescent="0.2">
      <c r="B17" s="80" t="s">
        <v>46</v>
      </c>
      <c r="C17" s="55">
        <f>1150000000+205965500+94345000</f>
        <v>1450310500</v>
      </c>
      <c r="D17" s="55">
        <v>697595400</v>
      </c>
      <c r="E17" s="55"/>
      <c r="F17" s="55">
        <v>51</v>
      </c>
      <c r="G17" s="55">
        <v>24000000</v>
      </c>
      <c r="H17" s="49">
        <f>F17*G17</f>
        <v>1224000000</v>
      </c>
      <c r="I17" s="49">
        <f>H17*110%</f>
        <v>1346400000</v>
      </c>
      <c r="J17" s="49"/>
      <c r="K17" s="49"/>
      <c r="L17" s="56" t="s">
        <v>28</v>
      </c>
      <c r="M17" s="56"/>
      <c r="N17" s="41">
        <f>Sum!B12</f>
        <v>10000000</v>
      </c>
      <c r="O17" s="59">
        <f>N17/H17</f>
        <v>8.1699346405228763E-3</v>
      </c>
      <c r="P17" s="60">
        <f t="shared" si="1"/>
        <v>1336400000</v>
      </c>
      <c r="Q17" s="58">
        <f>P17*10%</f>
        <v>133640000</v>
      </c>
      <c r="R17" s="56" t="s">
        <v>47</v>
      </c>
    </row>
    <row r="18" spans="1:18" s="2" customFormat="1" ht="20.45" customHeight="1" x14ac:dyDescent="0.2">
      <c r="B18" s="80" t="s">
        <v>48</v>
      </c>
      <c r="C18" s="26">
        <f>58000000+16110250</f>
        <v>74110250</v>
      </c>
      <c r="D18" s="26">
        <v>40550000</v>
      </c>
      <c r="E18" s="26"/>
      <c r="F18" s="26">
        <v>9</v>
      </c>
      <c r="G18" s="26">
        <v>8500000</v>
      </c>
      <c r="H18" s="68">
        <f>F18*G18</f>
        <v>76500000</v>
      </c>
      <c r="I18" s="68">
        <f t="shared" ref="I18:I44" si="3">H18*110%</f>
        <v>84150000</v>
      </c>
      <c r="J18" s="68"/>
      <c r="K18" s="68"/>
      <c r="L18" s="33" t="s">
        <v>28</v>
      </c>
      <c r="M18" s="33" t="s">
        <v>49</v>
      </c>
      <c r="N18" s="41">
        <f>Sum!B13</f>
        <v>4730000</v>
      </c>
      <c r="O18" s="59">
        <f t="shared" ref="O18:O43" si="4">N18/H18</f>
        <v>6.1830065359477125E-2</v>
      </c>
      <c r="P18" s="48">
        <f t="shared" si="1"/>
        <v>79420000</v>
      </c>
      <c r="Q18" s="41"/>
      <c r="R18" s="39" t="s">
        <v>26</v>
      </c>
    </row>
    <row r="19" spans="1:18" s="2" customFormat="1" ht="24.6" customHeight="1" x14ac:dyDescent="0.2">
      <c r="B19" s="80" t="s">
        <v>50</v>
      </c>
      <c r="C19" s="26">
        <v>16110250</v>
      </c>
      <c r="D19" s="26">
        <v>6545000</v>
      </c>
      <c r="E19" s="26"/>
      <c r="F19" s="26">
        <v>2</v>
      </c>
      <c r="G19" s="26">
        <v>8000000</v>
      </c>
      <c r="H19" s="68">
        <f>F19*G19</f>
        <v>16000000</v>
      </c>
      <c r="I19" s="68">
        <f t="shared" si="3"/>
        <v>17600000</v>
      </c>
      <c r="J19" s="68"/>
      <c r="K19" s="68"/>
      <c r="L19" s="33" t="s">
        <v>51</v>
      </c>
      <c r="M19" s="33" t="s">
        <v>52</v>
      </c>
      <c r="N19" s="41">
        <f>Sum!B14</f>
        <v>0</v>
      </c>
      <c r="O19" s="59">
        <f t="shared" si="4"/>
        <v>0</v>
      </c>
      <c r="P19" s="48">
        <f t="shared" si="1"/>
        <v>17600000</v>
      </c>
      <c r="Q19" s="41"/>
      <c r="R19" s="39" t="s">
        <v>26</v>
      </c>
    </row>
    <row r="20" spans="1:18" s="2" customFormat="1" ht="32.450000000000003" customHeight="1" x14ac:dyDescent="0.2">
      <c r="B20" s="83" t="s">
        <v>53</v>
      </c>
      <c r="C20" s="26">
        <f>40000000+16110250</f>
        <v>56110250</v>
      </c>
      <c r="D20" s="26">
        <v>7145455</v>
      </c>
      <c r="E20" s="26"/>
      <c r="F20" s="26">
        <v>1</v>
      </c>
      <c r="G20" s="26">
        <v>40000000</v>
      </c>
      <c r="H20" s="68">
        <v>40000000</v>
      </c>
      <c r="I20" s="68">
        <f t="shared" si="3"/>
        <v>44000000</v>
      </c>
      <c r="J20" s="68"/>
      <c r="K20" s="68"/>
      <c r="L20" s="33" t="s">
        <v>28</v>
      </c>
      <c r="M20" s="11" t="s">
        <v>54</v>
      </c>
      <c r="N20" s="41">
        <f>Sum!B15</f>
        <v>73336500</v>
      </c>
      <c r="O20" s="59">
        <f t="shared" si="4"/>
        <v>1.8334124999999999</v>
      </c>
      <c r="P20" s="48">
        <f t="shared" si="1"/>
        <v>-29336500</v>
      </c>
      <c r="Q20" s="41"/>
      <c r="R20" s="39" t="s">
        <v>26</v>
      </c>
    </row>
    <row r="21" spans="1:18" s="2" customFormat="1" ht="32.450000000000003" customHeight="1" x14ac:dyDescent="0.2">
      <c r="B21" s="77" t="s">
        <v>55</v>
      </c>
      <c r="C21" s="55"/>
      <c r="D21" s="55"/>
      <c r="E21" s="55"/>
      <c r="F21" s="55">
        <v>60</v>
      </c>
      <c r="G21" s="55"/>
      <c r="H21" s="49">
        <v>240000000</v>
      </c>
      <c r="I21" s="49">
        <f t="shared" si="3"/>
        <v>264000000.00000003</v>
      </c>
      <c r="J21" s="49"/>
      <c r="K21" s="49"/>
      <c r="L21" s="56" t="s">
        <v>28</v>
      </c>
      <c r="M21" s="57" t="s">
        <v>56</v>
      </c>
      <c r="N21" s="41">
        <f>Sum!B16</f>
        <v>209179000</v>
      </c>
      <c r="O21" s="59">
        <f t="shared" si="4"/>
        <v>0.87157916666666668</v>
      </c>
      <c r="P21" s="60">
        <f t="shared" si="1"/>
        <v>54821000.00000003</v>
      </c>
      <c r="Q21" s="58">
        <f>P21*2</f>
        <v>109642000.00000006</v>
      </c>
      <c r="R21" s="56" t="s">
        <v>57</v>
      </c>
    </row>
    <row r="22" spans="1:18" s="2" customFormat="1" ht="60" customHeight="1" x14ac:dyDescent="0.2">
      <c r="B22" s="78" t="s">
        <v>58</v>
      </c>
      <c r="C22" s="55">
        <v>60000000</v>
      </c>
      <c r="D22" s="55">
        <v>72396091</v>
      </c>
      <c r="E22" s="55"/>
      <c r="F22" s="55"/>
      <c r="G22" s="55"/>
      <c r="H22" s="49">
        <v>120000000</v>
      </c>
      <c r="I22" s="49">
        <f t="shared" si="3"/>
        <v>132000000.00000001</v>
      </c>
      <c r="J22" s="49"/>
      <c r="K22" s="49"/>
      <c r="L22" s="56"/>
      <c r="M22" s="65" t="s">
        <v>59</v>
      </c>
      <c r="N22" s="41">
        <f>Sum!B17</f>
        <v>191454000</v>
      </c>
      <c r="O22" s="59">
        <f t="shared" si="4"/>
        <v>1.59545</v>
      </c>
      <c r="P22" s="60">
        <f t="shared" si="1"/>
        <v>-59453999.999999985</v>
      </c>
      <c r="Q22" s="58">
        <v>40000000</v>
      </c>
      <c r="R22" s="66" t="s">
        <v>60</v>
      </c>
    </row>
    <row r="23" spans="1:18" s="14" customFormat="1" ht="51" x14ac:dyDescent="0.2">
      <c r="A23" s="74" t="s">
        <v>61</v>
      </c>
      <c r="B23" s="7"/>
      <c r="C23" s="53">
        <f t="shared" ref="C23:G23" si="5">SUBTOTAL(9,C24:C30)</f>
        <v>126854246</v>
      </c>
      <c r="D23" s="53">
        <f t="shared" si="5"/>
        <v>114884675</v>
      </c>
      <c r="E23" s="53">
        <f t="shared" si="5"/>
        <v>0</v>
      </c>
      <c r="F23" s="53">
        <f t="shared" si="5"/>
        <v>0</v>
      </c>
      <c r="G23" s="53">
        <f t="shared" si="5"/>
        <v>0</v>
      </c>
      <c r="H23" s="68"/>
      <c r="I23" s="68"/>
      <c r="J23" s="68">
        <f>SUM(H24:H31)</f>
        <v>209242000</v>
      </c>
      <c r="K23" s="68">
        <f>SUM(I24:I31)</f>
        <v>230166200</v>
      </c>
      <c r="L23" s="34"/>
      <c r="M23" s="34"/>
      <c r="N23" s="41"/>
      <c r="O23" s="59">
        <f>N23/J23</f>
        <v>0</v>
      </c>
      <c r="P23" s="48">
        <f t="shared" si="1"/>
        <v>0</v>
      </c>
      <c r="Q23" s="63"/>
      <c r="R23" s="42"/>
    </row>
    <row r="24" spans="1:18" s="2" customFormat="1" ht="42" customHeight="1" x14ac:dyDescent="0.2">
      <c r="B24" s="80" t="s">
        <v>62</v>
      </c>
      <c r="C24" s="26">
        <f>78600000+3960000</f>
        <v>82560000</v>
      </c>
      <c r="D24" s="26">
        <v>61310155</v>
      </c>
      <c r="E24" s="26"/>
      <c r="F24" s="26"/>
      <c r="G24" s="26"/>
      <c r="H24" s="68">
        <v>25000000</v>
      </c>
      <c r="I24" s="68">
        <f t="shared" si="3"/>
        <v>27500000.000000004</v>
      </c>
      <c r="J24" s="68"/>
      <c r="K24" s="68"/>
      <c r="L24" s="33"/>
      <c r="M24" s="11" t="s">
        <v>63</v>
      </c>
      <c r="N24" s="41">
        <f>Sum!B19</f>
        <v>40150000</v>
      </c>
      <c r="O24" s="59">
        <f t="shared" si="4"/>
        <v>1.6060000000000001</v>
      </c>
      <c r="P24" s="48">
        <f t="shared" si="1"/>
        <v>-12649999.999999996</v>
      </c>
      <c r="Q24" s="41"/>
      <c r="R24" s="39" t="s">
        <v>26</v>
      </c>
    </row>
    <row r="25" spans="1:18" s="2" customFormat="1" ht="26.45" customHeight="1" x14ac:dyDescent="0.2">
      <c r="B25" s="83" t="s">
        <v>64</v>
      </c>
      <c r="C25" s="26"/>
      <c r="D25" s="26"/>
      <c r="E25" s="26"/>
      <c r="F25" s="26"/>
      <c r="G25" s="26"/>
      <c r="H25" s="68">
        <v>78242000</v>
      </c>
      <c r="I25" s="68">
        <f t="shared" si="3"/>
        <v>86066200</v>
      </c>
      <c r="J25" s="68"/>
      <c r="K25" s="68"/>
      <c r="L25" s="33" t="s">
        <v>28</v>
      </c>
      <c r="M25" s="33"/>
      <c r="N25" s="41">
        <f>Sum!B20</f>
        <v>56649000</v>
      </c>
      <c r="O25" s="59">
        <f t="shared" si="4"/>
        <v>0.72402290330001784</v>
      </c>
      <c r="P25" s="48">
        <f t="shared" si="1"/>
        <v>29417200</v>
      </c>
      <c r="Q25" s="41"/>
      <c r="R25" s="39" t="s">
        <v>26</v>
      </c>
    </row>
    <row r="26" spans="1:18" s="2" customFormat="1" ht="37.15" customHeight="1" x14ac:dyDescent="0.2">
      <c r="B26" s="83" t="s">
        <v>65</v>
      </c>
      <c r="C26" s="26">
        <v>12411246</v>
      </c>
      <c r="D26" s="26">
        <f>11193996+1176290</f>
        <v>12370286</v>
      </c>
      <c r="E26" s="26"/>
      <c r="F26" s="26"/>
      <c r="G26" s="26"/>
      <c r="H26" s="68">
        <v>14000000</v>
      </c>
      <c r="I26" s="68">
        <f t="shared" si="3"/>
        <v>15400000.000000002</v>
      </c>
      <c r="J26" s="68"/>
      <c r="K26" s="68"/>
      <c r="L26" s="33" t="s">
        <v>66</v>
      </c>
      <c r="M26" s="33"/>
      <c r="N26" s="41">
        <f>Sum!B21</f>
        <v>3417000</v>
      </c>
      <c r="O26" s="59">
        <f t="shared" si="4"/>
        <v>0.24407142857142858</v>
      </c>
      <c r="P26" s="48">
        <f t="shared" si="1"/>
        <v>11983000.000000002</v>
      </c>
      <c r="Q26" s="41"/>
      <c r="R26" s="39" t="s">
        <v>26</v>
      </c>
    </row>
    <row r="27" spans="1:18" s="2" customFormat="1" ht="19.149999999999999" customHeight="1" x14ac:dyDescent="0.2">
      <c r="B27" s="83" t="s">
        <v>67</v>
      </c>
      <c r="C27" s="26">
        <v>9480000</v>
      </c>
      <c r="D27" s="26">
        <v>6141528</v>
      </c>
      <c r="E27" s="26"/>
      <c r="F27" s="26"/>
      <c r="G27" s="26"/>
      <c r="H27" s="68">
        <v>12000000</v>
      </c>
      <c r="I27" s="68">
        <f t="shared" si="3"/>
        <v>13200000.000000002</v>
      </c>
      <c r="J27" s="68"/>
      <c r="K27" s="68"/>
      <c r="L27" s="33" t="s">
        <v>28</v>
      </c>
      <c r="M27" s="33"/>
      <c r="N27" s="41">
        <f>Sum!B22</f>
        <v>0</v>
      </c>
      <c r="O27" s="59">
        <f t="shared" si="4"/>
        <v>0</v>
      </c>
      <c r="P27" s="48">
        <f t="shared" si="1"/>
        <v>13200000.000000002</v>
      </c>
      <c r="Q27" s="41"/>
      <c r="R27" s="39" t="s">
        <v>26</v>
      </c>
    </row>
    <row r="28" spans="1:18" s="2" customFormat="1" ht="28.15" customHeight="1" x14ac:dyDescent="0.2">
      <c r="B28" s="83" t="s">
        <v>68</v>
      </c>
      <c r="C28" s="26"/>
      <c r="D28" s="26"/>
      <c r="E28" s="26"/>
      <c r="F28" s="26"/>
      <c r="G28" s="26"/>
      <c r="H28" s="68">
        <v>10000000</v>
      </c>
      <c r="I28" s="68">
        <f t="shared" si="3"/>
        <v>11000000</v>
      </c>
      <c r="J28" s="68"/>
      <c r="K28" s="68"/>
      <c r="L28" s="33" t="s">
        <v>28</v>
      </c>
      <c r="M28" s="11" t="s">
        <v>69</v>
      </c>
      <c r="N28" s="41">
        <f>Sum!B23</f>
        <v>21061700</v>
      </c>
      <c r="O28" s="59">
        <f t="shared" si="4"/>
        <v>2.1061700000000001</v>
      </c>
      <c r="P28" s="48">
        <f t="shared" si="1"/>
        <v>-10061700</v>
      </c>
      <c r="Q28" s="41"/>
      <c r="R28" s="39" t="s">
        <v>26</v>
      </c>
    </row>
    <row r="29" spans="1:18" s="2" customFormat="1" ht="28.9" customHeight="1" x14ac:dyDescent="0.2">
      <c r="B29" s="83" t="s">
        <v>70</v>
      </c>
      <c r="C29" s="26">
        <v>0</v>
      </c>
      <c r="D29" s="26"/>
      <c r="E29" s="26"/>
      <c r="F29" s="26"/>
      <c r="G29" s="26"/>
      <c r="H29" s="68">
        <v>20000000</v>
      </c>
      <c r="I29" s="68">
        <f t="shared" si="3"/>
        <v>22000000</v>
      </c>
      <c r="J29" s="68"/>
      <c r="K29" s="68"/>
      <c r="L29" s="33" t="s">
        <v>28</v>
      </c>
      <c r="M29" s="11" t="s">
        <v>71</v>
      </c>
      <c r="N29" s="41">
        <f>Sum!B24</f>
        <v>5581000</v>
      </c>
      <c r="O29" s="59">
        <f t="shared" si="4"/>
        <v>0.27905000000000002</v>
      </c>
      <c r="P29" s="48">
        <f t="shared" si="1"/>
        <v>16419000</v>
      </c>
      <c r="Q29" s="41"/>
      <c r="R29" s="39" t="s">
        <v>26</v>
      </c>
    </row>
    <row r="30" spans="1:18" s="2" customFormat="1" ht="40.9" customHeight="1" x14ac:dyDescent="0.2">
      <c r="B30" s="83" t="s">
        <v>72</v>
      </c>
      <c r="C30" s="26">
        <f>18058000+4345000</f>
        <v>22403000</v>
      </c>
      <c r="D30" s="26">
        <v>35062706</v>
      </c>
      <c r="E30" s="26"/>
      <c r="F30" s="26"/>
      <c r="G30" s="26"/>
      <c r="H30" s="68">
        <v>40000000</v>
      </c>
      <c r="I30" s="68">
        <f t="shared" si="3"/>
        <v>44000000</v>
      </c>
      <c r="J30" s="68"/>
      <c r="K30" s="68"/>
      <c r="L30" s="33" t="s">
        <v>28</v>
      </c>
      <c r="M30" s="33" t="s">
        <v>73</v>
      </c>
      <c r="N30" s="41">
        <f>Sum!B25</f>
        <v>21110000</v>
      </c>
      <c r="O30" s="59">
        <f t="shared" si="4"/>
        <v>0.52775000000000005</v>
      </c>
      <c r="P30" s="48">
        <f t="shared" si="1"/>
        <v>22890000</v>
      </c>
      <c r="Q30" s="41"/>
      <c r="R30" s="39" t="s">
        <v>26</v>
      </c>
    </row>
    <row r="31" spans="1:18" s="2" customFormat="1" ht="40.9" customHeight="1" x14ac:dyDescent="0.2">
      <c r="B31" s="80" t="s">
        <v>74</v>
      </c>
      <c r="C31" s="26"/>
      <c r="D31" s="26"/>
      <c r="E31" s="26"/>
      <c r="F31" s="26"/>
      <c r="G31" s="26"/>
      <c r="H31" s="68">
        <v>10000000</v>
      </c>
      <c r="I31" s="68">
        <f t="shared" si="3"/>
        <v>11000000</v>
      </c>
      <c r="J31" s="68"/>
      <c r="K31" s="68"/>
      <c r="L31" s="33"/>
      <c r="M31" s="33"/>
      <c r="N31" s="41">
        <f>Sum!B26</f>
        <v>0</v>
      </c>
      <c r="O31" s="59">
        <f t="shared" si="4"/>
        <v>0</v>
      </c>
      <c r="P31" s="48">
        <f t="shared" si="1"/>
        <v>11000000</v>
      </c>
      <c r="Q31" s="41"/>
      <c r="R31" s="39"/>
    </row>
    <row r="32" spans="1:18" s="14" customFormat="1" ht="25.5" x14ac:dyDescent="0.2">
      <c r="A32" s="74" t="s">
        <v>75</v>
      </c>
      <c r="B32" s="7"/>
      <c r="C32" s="53">
        <f t="shared" ref="C32:G32" si="6">SUBTOTAL(9,C33:C42)</f>
        <v>450000000</v>
      </c>
      <c r="D32" s="53">
        <f t="shared" si="6"/>
        <v>375998740</v>
      </c>
      <c r="E32" s="53">
        <f t="shared" si="6"/>
        <v>0</v>
      </c>
      <c r="F32" s="53">
        <f t="shared" si="6"/>
        <v>0</v>
      </c>
      <c r="G32" s="53">
        <f t="shared" si="6"/>
        <v>0</v>
      </c>
      <c r="H32" s="68"/>
      <c r="I32" s="68"/>
      <c r="J32" s="68">
        <f>SUM(I33:I36)</f>
        <v>375968741</v>
      </c>
      <c r="K32" s="68">
        <f>SUM(I33:I36)</f>
        <v>375968741</v>
      </c>
      <c r="L32" s="34"/>
      <c r="M32" s="34"/>
      <c r="N32" s="41"/>
      <c r="O32" s="59">
        <f>N32/J32</f>
        <v>0</v>
      </c>
      <c r="P32" s="48">
        <f t="shared" si="1"/>
        <v>0</v>
      </c>
      <c r="Q32" s="63"/>
      <c r="R32" s="42"/>
    </row>
    <row r="33" spans="1:18" s="2" customFormat="1" ht="25.5" x14ac:dyDescent="0.2">
      <c r="B33" s="78" t="s">
        <v>76</v>
      </c>
      <c r="C33" s="26">
        <v>250000000</v>
      </c>
      <c r="D33" s="26">
        <v>250000000</v>
      </c>
      <c r="E33" s="26"/>
      <c r="F33" s="26"/>
      <c r="G33" s="26"/>
      <c r="H33" s="68">
        <v>139970000</v>
      </c>
      <c r="I33" s="68">
        <v>139970000</v>
      </c>
      <c r="J33" s="68"/>
      <c r="K33" s="68"/>
      <c r="L33" s="33" t="s">
        <v>31</v>
      </c>
      <c r="M33" s="11" t="s">
        <v>77</v>
      </c>
      <c r="N33" s="41">
        <f>Sum!B28</f>
        <v>0</v>
      </c>
      <c r="O33" s="59">
        <f t="shared" si="4"/>
        <v>0</v>
      </c>
      <c r="P33" s="48">
        <f t="shared" si="1"/>
        <v>139970000</v>
      </c>
      <c r="Q33" s="41" t="s">
        <v>78</v>
      </c>
      <c r="R33" s="39" t="s">
        <v>26</v>
      </c>
    </row>
    <row r="34" spans="1:18" s="2" customFormat="1" ht="30.6" customHeight="1" x14ac:dyDescent="0.2">
      <c r="B34" s="78" t="s">
        <v>79</v>
      </c>
      <c r="C34" s="26"/>
      <c r="D34" s="26"/>
      <c r="E34" s="26"/>
      <c r="F34" s="26"/>
      <c r="G34" s="26"/>
      <c r="H34" s="68">
        <v>1</v>
      </c>
      <c r="I34" s="68">
        <v>1</v>
      </c>
      <c r="J34" s="68"/>
      <c r="K34" s="68"/>
      <c r="L34" s="33"/>
      <c r="M34" s="33" t="s">
        <v>80</v>
      </c>
      <c r="N34" s="41">
        <f>Sum!B29</f>
        <v>0</v>
      </c>
      <c r="O34" s="59">
        <f t="shared" si="4"/>
        <v>0</v>
      </c>
      <c r="P34" s="48">
        <f t="shared" si="1"/>
        <v>1</v>
      </c>
      <c r="Q34" s="30" t="s">
        <v>81</v>
      </c>
      <c r="R34" s="39" t="s">
        <v>26</v>
      </c>
    </row>
    <row r="35" spans="1:18" s="2" customFormat="1" ht="35.450000000000003" customHeight="1" x14ac:dyDescent="0.2">
      <c r="B35" s="78" t="s">
        <v>82</v>
      </c>
      <c r="C35" s="26">
        <v>200000000</v>
      </c>
      <c r="D35" s="26">
        <v>125998740</v>
      </c>
      <c r="E35" s="26"/>
      <c r="F35" s="26"/>
      <c r="G35" s="26"/>
      <c r="H35" s="68">
        <f>C35-D35</f>
        <v>74001260</v>
      </c>
      <c r="I35" s="68">
        <f>D35-E35</f>
        <v>125998740</v>
      </c>
      <c r="J35" s="68"/>
      <c r="K35" s="68"/>
      <c r="L35" s="33" t="s">
        <v>31</v>
      </c>
      <c r="M35" s="22" t="s">
        <v>83</v>
      </c>
      <c r="N35" s="41">
        <f>Sum!B30</f>
        <v>0</v>
      </c>
      <c r="O35" s="59">
        <f t="shared" si="4"/>
        <v>0</v>
      </c>
      <c r="P35" s="48">
        <f t="shared" si="1"/>
        <v>125998740</v>
      </c>
      <c r="Q35" s="41"/>
      <c r="R35" s="39" t="s">
        <v>26</v>
      </c>
    </row>
    <row r="36" spans="1:18" s="2" customFormat="1" ht="39" customHeight="1" x14ac:dyDescent="0.2">
      <c r="B36" s="78" t="s">
        <v>84</v>
      </c>
      <c r="C36" s="26"/>
      <c r="D36" s="26"/>
      <c r="E36" s="26"/>
      <c r="F36" s="26"/>
      <c r="G36" s="26"/>
      <c r="H36" s="68">
        <v>100000000</v>
      </c>
      <c r="I36" s="68">
        <f t="shared" si="3"/>
        <v>110000000.00000001</v>
      </c>
      <c r="J36" s="68"/>
      <c r="K36" s="68"/>
      <c r="L36" s="33" t="s">
        <v>31</v>
      </c>
      <c r="M36" s="11" t="s">
        <v>85</v>
      </c>
      <c r="N36" s="41">
        <f>Sum!B31</f>
        <v>0</v>
      </c>
      <c r="O36" s="59">
        <f t="shared" si="4"/>
        <v>0</v>
      </c>
      <c r="P36" s="48">
        <f t="shared" si="1"/>
        <v>110000000.00000001</v>
      </c>
      <c r="Q36" s="41"/>
      <c r="R36" s="39" t="s">
        <v>26</v>
      </c>
    </row>
    <row r="37" spans="1:18" s="2" customFormat="1" ht="24" customHeight="1" x14ac:dyDescent="0.2">
      <c r="A37" s="75" t="s">
        <v>86</v>
      </c>
      <c r="B37" s="7"/>
      <c r="C37" s="26"/>
      <c r="D37" s="26"/>
      <c r="E37" s="26"/>
      <c r="F37" s="26"/>
      <c r="G37" s="26"/>
      <c r="H37" s="68"/>
      <c r="I37" s="68">
        <f t="shared" si="3"/>
        <v>0</v>
      </c>
      <c r="J37" s="68">
        <f>SUM(H38:H42)</f>
        <v>0</v>
      </c>
      <c r="K37" s="68">
        <f>SUM(I38:I42)</f>
        <v>0</v>
      </c>
      <c r="L37" s="33"/>
      <c r="M37" s="33"/>
      <c r="N37" s="41"/>
      <c r="O37" s="56" t="e">
        <f>N37/J37</f>
        <v>#DIV/0!</v>
      </c>
      <c r="P37" s="48">
        <f t="shared" si="1"/>
        <v>0</v>
      </c>
      <c r="Q37" s="41"/>
      <c r="R37" s="39" t="s">
        <v>26</v>
      </c>
    </row>
    <row r="38" spans="1:18" s="2" customFormat="1" ht="28.15" customHeight="1" x14ac:dyDescent="0.2">
      <c r="B38" s="79" t="s">
        <v>87</v>
      </c>
      <c r="C38" s="26"/>
      <c r="D38" s="26"/>
      <c r="E38" s="26"/>
      <c r="F38" s="26"/>
      <c r="G38" s="26"/>
      <c r="H38" s="68"/>
      <c r="I38" s="68">
        <f t="shared" si="3"/>
        <v>0</v>
      </c>
      <c r="J38" s="68"/>
      <c r="K38" s="68"/>
      <c r="L38" s="33"/>
      <c r="M38" s="33" t="s">
        <v>88</v>
      </c>
      <c r="N38" s="41">
        <f>Sum!B33</f>
        <v>0</v>
      </c>
      <c r="O38" s="59" t="e">
        <f t="shared" si="4"/>
        <v>#DIV/0!</v>
      </c>
      <c r="P38" s="48">
        <f t="shared" si="1"/>
        <v>0</v>
      </c>
      <c r="Q38" s="41"/>
      <c r="R38" s="39" t="s">
        <v>26</v>
      </c>
    </row>
    <row r="39" spans="1:18" s="2" customFormat="1" ht="28.15" customHeight="1" x14ac:dyDescent="0.2">
      <c r="B39" s="79" t="s">
        <v>89</v>
      </c>
      <c r="C39" s="26"/>
      <c r="D39" s="26"/>
      <c r="E39" s="26"/>
      <c r="F39" s="26"/>
      <c r="G39" s="26"/>
      <c r="H39" s="68"/>
      <c r="I39" s="68">
        <f t="shared" si="3"/>
        <v>0</v>
      </c>
      <c r="J39" s="68"/>
      <c r="K39" s="68"/>
      <c r="L39" s="33"/>
      <c r="M39" s="33" t="s">
        <v>88</v>
      </c>
      <c r="N39" s="41">
        <f>Sum!B34</f>
        <v>0</v>
      </c>
      <c r="O39" s="59" t="e">
        <f t="shared" si="4"/>
        <v>#DIV/0!</v>
      </c>
      <c r="P39" s="48">
        <f t="shared" si="1"/>
        <v>0</v>
      </c>
      <c r="Q39" s="41"/>
      <c r="R39" s="39" t="s">
        <v>26</v>
      </c>
    </row>
    <row r="40" spans="1:18" s="2" customFormat="1" ht="27" customHeight="1" x14ac:dyDescent="0.2">
      <c r="B40" s="82" t="s">
        <v>90</v>
      </c>
      <c r="C40" s="26"/>
      <c r="D40" s="26"/>
      <c r="E40" s="26"/>
      <c r="F40" s="26"/>
      <c r="G40" s="26"/>
      <c r="H40" s="68"/>
      <c r="I40" s="68">
        <f t="shared" si="3"/>
        <v>0</v>
      </c>
      <c r="J40" s="68"/>
      <c r="K40" s="68"/>
      <c r="L40" s="33"/>
      <c r="M40" s="33" t="s">
        <v>88</v>
      </c>
      <c r="N40" s="41">
        <f>Sum!B35</f>
        <v>0</v>
      </c>
      <c r="O40" s="59" t="e">
        <f t="shared" si="4"/>
        <v>#DIV/0!</v>
      </c>
      <c r="P40" s="48">
        <f t="shared" si="1"/>
        <v>0</v>
      </c>
      <c r="Q40" s="41"/>
      <c r="R40" s="39" t="s">
        <v>26</v>
      </c>
    </row>
    <row r="41" spans="1:18" s="2" customFormat="1" ht="27" customHeight="1" x14ac:dyDescent="0.2">
      <c r="B41" s="84" t="s">
        <v>91</v>
      </c>
      <c r="C41" s="55"/>
      <c r="D41" s="55"/>
      <c r="E41" s="55"/>
      <c r="F41" s="55"/>
      <c r="G41" s="55"/>
      <c r="H41" s="49"/>
      <c r="I41" s="49">
        <f t="shared" si="3"/>
        <v>0</v>
      </c>
      <c r="J41" s="49"/>
      <c r="K41" s="49"/>
      <c r="L41" s="56"/>
      <c r="M41" s="56" t="s">
        <v>92</v>
      </c>
      <c r="N41" s="41">
        <f>Sum!B36</f>
        <v>0</v>
      </c>
      <c r="O41" s="59" t="e">
        <f t="shared" si="4"/>
        <v>#DIV/0!</v>
      </c>
      <c r="P41" s="60">
        <f t="shared" si="1"/>
        <v>0</v>
      </c>
      <c r="Q41" s="58" t="s">
        <v>93</v>
      </c>
      <c r="R41" s="56" t="s">
        <v>94</v>
      </c>
    </row>
    <row r="42" spans="1:18" s="2" customFormat="1" ht="28.15" customHeight="1" x14ac:dyDescent="0.2">
      <c r="B42" s="84" t="s">
        <v>95</v>
      </c>
      <c r="C42" s="55"/>
      <c r="D42" s="55"/>
      <c r="E42" s="55"/>
      <c r="F42" s="55"/>
      <c r="G42" s="55"/>
      <c r="H42" s="49"/>
      <c r="I42" s="49">
        <f t="shared" si="3"/>
        <v>0</v>
      </c>
      <c r="J42" s="49"/>
      <c r="K42" s="49"/>
      <c r="L42" s="56"/>
      <c r="M42" s="56" t="s">
        <v>92</v>
      </c>
      <c r="N42" s="41">
        <f>Sum!B37</f>
        <v>0</v>
      </c>
      <c r="O42" s="59" t="e">
        <f t="shared" si="4"/>
        <v>#DIV/0!</v>
      </c>
      <c r="P42" s="60">
        <f t="shared" si="1"/>
        <v>0</v>
      </c>
      <c r="Q42" s="67">
        <v>6250000</v>
      </c>
      <c r="R42" s="56" t="s">
        <v>96</v>
      </c>
    </row>
    <row r="43" spans="1:18" s="2" customFormat="1" ht="28.15" customHeight="1" x14ac:dyDescent="0.2">
      <c r="B43" s="84" t="s">
        <v>97</v>
      </c>
      <c r="C43" s="55"/>
      <c r="D43" s="55"/>
      <c r="E43" s="55"/>
      <c r="F43" s="55"/>
      <c r="G43" s="55"/>
      <c r="H43" s="49"/>
      <c r="I43" s="49"/>
      <c r="J43" s="49"/>
      <c r="K43" s="49"/>
      <c r="L43" s="56"/>
      <c r="M43" s="56"/>
      <c r="N43" s="41">
        <f>Sum!B38</f>
        <v>0</v>
      </c>
      <c r="O43" s="59" t="e">
        <f t="shared" si="4"/>
        <v>#DIV/0!</v>
      </c>
      <c r="P43" s="60"/>
      <c r="Q43" s="67"/>
      <c r="R43" s="56"/>
    </row>
    <row r="44" spans="1:18" s="2" customFormat="1" ht="20.45" customHeight="1" x14ac:dyDescent="0.2">
      <c r="B44" s="16" t="s">
        <v>98</v>
      </c>
      <c r="C44" s="54">
        <f t="shared" ref="C44:G44" si="7">SUBTOTAL(9,C7:C42)</f>
        <v>2653135496</v>
      </c>
      <c r="D44" s="54">
        <f t="shared" si="7"/>
        <v>3096995925</v>
      </c>
      <c r="E44" s="54">
        <f t="shared" si="7"/>
        <v>0</v>
      </c>
      <c r="F44" s="54">
        <f t="shared" si="7"/>
        <v>321</v>
      </c>
      <c r="G44" s="54">
        <f t="shared" si="7"/>
        <v>111740000</v>
      </c>
      <c r="H44" s="68"/>
      <c r="I44" s="68">
        <f t="shared" si="3"/>
        <v>0</v>
      </c>
      <c r="J44" s="68"/>
      <c r="K44" s="68"/>
      <c r="L44" s="35"/>
      <c r="M44" s="35"/>
      <c r="N44" s="30"/>
      <c r="O44" s="47" t="e">
        <f t="shared" ref="O44" si="8">N44/I44*100%</f>
        <v>#DIV/0!</v>
      </c>
      <c r="P44" s="48">
        <f t="shared" si="1"/>
        <v>0</v>
      </c>
      <c r="Q44" s="30"/>
      <c r="R44" s="29"/>
    </row>
  </sheetData>
  <mergeCells count="5">
    <mergeCell ref="B1:N1"/>
    <mergeCell ref="C2:E2"/>
    <mergeCell ref="F2:N2"/>
    <mergeCell ref="E3:E4"/>
    <mergeCell ref="F3:N3"/>
  </mergeCells>
  <conditionalFormatting sqref="B16">
    <cfRule type="containsText" dxfId="15" priority="8" operator="containsText" text="Software license/Bản quyền phần mềm">
      <formula>NOT(ISERROR(SEARCH("Software license/Bản quyền phần mềm",B16)))</formula>
    </cfRule>
  </conditionalFormatting>
  <conditionalFormatting sqref="B31">
    <cfRule type="containsText" dxfId="14" priority="2" operator="containsText" text="Software license/Bản quyền phần mềm">
      <formula>NOT(ISERROR(SEARCH("Software license/Bản quyền phần mềm",B31)))</formula>
    </cfRule>
  </conditionalFormatting>
  <conditionalFormatting sqref="B15">
    <cfRule type="containsText" dxfId="13" priority="1" operator="containsText" text="Software license/Bản quyền phần mềm">
      <formula>NOT(ISERROR(SEARCH("Software license/Bản quyền phần mềm",B15)))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B7EC-1A3B-4156-82E4-F7D3D60F63E9}">
  <dimension ref="A1:D5"/>
  <sheetViews>
    <sheetView workbookViewId="0">
      <selection activeCell="G4" sqref="G4"/>
    </sheetView>
  </sheetViews>
  <sheetFormatPr defaultColWidth="8.85546875" defaultRowHeight="15" x14ac:dyDescent="0.25"/>
  <cols>
    <col min="1" max="1" width="49.28515625" style="110" customWidth="1"/>
    <col min="2" max="3" width="34.28515625" style="117" customWidth="1"/>
    <col min="4" max="16384" width="8.85546875" style="91"/>
  </cols>
  <sheetData>
    <row r="1" spans="1:4" ht="55.15" customHeight="1" x14ac:dyDescent="0.25">
      <c r="A1" s="92" t="s">
        <v>22</v>
      </c>
      <c r="B1" s="116">
        <f>SUM(Sum!B3:B10)</f>
        <v>480810460</v>
      </c>
      <c r="C1" s="116">
        <f>VLOOKUP('Sum A'!A1,Total!A6:K43,10,)</f>
        <v>1543542000</v>
      </c>
      <c r="D1" s="91">
        <f>B1/C1*100%</f>
        <v>0.31149813869658227</v>
      </c>
    </row>
    <row r="2" spans="1:4" ht="55.15" customHeight="1" x14ac:dyDescent="0.25">
      <c r="A2" s="92" t="s">
        <v>45</v>
      </c>
      <c r="B2" s="116">
        <f>SUM(Sum!B12:B15)</f>
        <v>88066500</v>
      </c>
      <c r="C2" s="116">
        <f>VLOOKUP('Sum A'!A2,Total!A7:K44,10,)</f>
        <v>1716500000</v>
      </c>
      <c r="D2" s="91">
        <f t="shared" ref="D2:D4" si="0">B2/C2*100%</f>
        <v>5.1305854937372559E-2</v>
      </c>
    </row>
    <row r="3" spans="1:4" ht="55.15" customHeight="1" x14ac:dyDescent="0.25">
      <c r="A3" s="74" t="s">
        <v>61</v>
      </c>
      <c r="B3" s="116">
        <f>SUM(Sum!B17:B26)</f>
        <v>487391400</v>
      </c>
      <c r="C3" s="116">
        <f>VLOOKUP('Sum A'!A3,Total!A8:K45,10,)</f>
        <v>209242000</v>
      </c>
      <c r="D3" s="91">
        <f t="shared" si="0"/>
        <v>2.3293191615450053</v>
      </c>
    </row>
    <row r="4" spans="1:4" ht="55.15" customHeight="1" x14ac:dyDescent="0.25">
      <c r="A4" s="92" t="s">
        <v>75</v>
      </c>
      <c r="B4" s="116">
        <f>SUM(Sum!B28:B31)</f>
        <v>0</v>
      </c>
      <c r="C4" s="116">
        <f>VLOOKUP('Sum A'!A4,Total!A9:K46,10,)</f>
        <v>375968741</v>
      </c>
      <c r="D4" s="91">
        <f t="shared" si="0"/>
        <v>0</v>
      </c>
    </row>
    <row r="5" spans="1:4" ht="55.15" customHeight="1" x14ac:dyDescent="0.25">
      <c r="A5" s="94" t="s">
        <v>86</v>
      </c>
      <c r="B5" s="116">
        <f>SUM(Sum!B33:B38)</f>
        <v>0</v>
      </c>
      <c r="C5" s="116">
        <f>VLOOKUP('Sum A'!A5,Total!A10:K47,10,)</f>
        <v>0</v>
      </c>
      <c r="D5" s="118">
        <v>0</v>
      </c>
    </row>
  </sheetData>
  <conditionalFormatting sqref="A1:A2">
    <cfRule type="containsText" dxfId="12" priority="6" operator="containsText" text="Software license/Bản quyền phần mềm">
      <formula>NOT(ISERROR(SEARCH("Software license/Bản quyền phần mềm",A1)))</formula>
    </cfRule>
  </conditionalFormatting>
  <conditionalFormatting sqref="A5">
    <cfRule type="containsText" dxfId="11" priority="5" operator="containsText" text="Software license/Bản quyền phần mềm">
      <formula>NOT(ISERROR(SEARCH("Software license/Bản quyền phần mềm",A5)))</formula>
    </cfRule>
  </conditionalFormatting>
  <conditionalFormatting sqref="A4">
    <cfRule type="containsText" dxfId="10" priority="3" operator="containsText" text="Software license/Bản quyền phần mềm">
      <formula>NOT(ISERROR(SEARCH("Software license/Bản quyền phần mềm",A4)))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AD5E-1C59-4ED5-B4D5-3BF8943F51D5}">
  <dimension ref="A1:N38"/>
  <sheetViews>
    <sheetView workbookViewId="0">
      <pane ySplit="1" topLeftCell="A16" activePane="bottomLeft" state="frozen"/>
      <selection activeCell="G13" sqref="G13"/>
      <selection pane="bottomLeft" activeCell="A17" sqref="A17"/>
    </sheetView>
  </sheetViews>
  <sheetFormatPr defaultColWidth="8.85546875" defaultRowHeight="15" x14ac:dyDescent="0.25"/>
  <cols>
    <col min="1" max="1" width="49.28515625" style="110" customWidth="1"/>
    <col min="2" max="2" width="17.28515625" style="91" customWidth="1"/>
    <col min="3" max="14" width="23.5703125" style="114" customWidth="1"/>
    <col min="15" max="16384" width="8.85546875" style="91"/>
  </cols>
  <sheetData>
    <row r="1" spans="1:14" ht="28.15" customHeight="1" x14ac:dyDescent="0.25">
      <c r="A1" s="109" t="s">
        <v>99</v>
      </c>
      <c r="B1" s="90"/>
      <c r="C1" s="115">
        <v>10</v>
      </c>
      <c r="D1" s="115">
        <v>11</v>
      </c>
      <c r="E1" s="115">
        <v>12</v>
      </c>
      <c r="F1" s="115">
        <v>1</v>
      </c>
      <c r="G1" s="115">
        <v>2</v>
      </c>
      <c r="H1" s="115">
        <v>3</v>
      </c>
      <c r="I1" s="115">
        <v>4</v>
      </c>
      <c r="J1" s="115">
        <v>5</v>
      </c>
      <c r="K1" s="115">
        <v>6</v>
      </c>
      <c r="L1" s="115">
        <v>7</v>
      </c>
      <c r="M1" s="115">
        <v>8</v>
      </c>
      <c r="N1" s="115">
        <v>9</v>
      </c>
    </row>
    <row r="2" spans="1:14" ht="55.15" customHeight="1" x14ac:dyDescent="0.25">
      <c r="A2" s="92" t="s">
        <v>22</v>
      </c>
      <c r="B2" s="93">
        <f>SUM(B3:B10)</f>
        <v>480810460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55.15" customHeight="1" x14ac:dyDescent="0.25">
      <c r="A3" s="81" t="s">
        <v>23</v>
      </c>
      <c r="B3" s="93">
        <f>SUM(C3:N3)</f>
        <v>0</v>
      </c>
      <c r="C3" s="113">
        <f>SUMIFS(Detail!$I:$I,Detail!$K:$K,C$1,Detail!$Q:$Q,$A3)</f>
        <v>0</v>
      </c>
      <c r="D3" s="113">
        <f>SUMIFS(Detail!$I:$I,Detail!$K:$K,D$1,Detail!$Q:$Q,$A3)</f>
        <v>0</v>
      </c>
      <c r="E3" s="113">
        <f>SUMIFS(Detail!$I:$I,Detail!$K:$K,E$1,Detail!$Q:$Q,$A3)</f>
        <v>0</v>
      </c>
      <c r="F3" s="113">
        <f>SUMIFS(Detail!$I:$I,Detail!$K:$K,F$1,Detail!$Q:$Q,$A3)</f>
        <v>0</v>
      </c>
      <c r="G3" s="113">
        <f>SUMIFS(Detail!$I:$I,Detail!$K:$K,G$1,Detail!$Q:$Q,$A3)</f>
        <v>0</v>
      </c>
      <c r="H3" s="113">
        <f>SUMIFS(Detail!$I:$I,Detail!$K:$K,H$1,Detail!$Q:$Q,$A3)</f>
        <v>0</v>
      </c>
      <c r="I3" s="113">
        <f>SUMIFS(Detail!$I:$I,Detail!$K:$K,I$1,Detail!$Q:$Q,$A3)</f>
        <v>0</v>
      </c>
      <c r="J3" s="113">
        <f>SUMIFS(Detail!$I:$I,Detail!$K:$K,J$1,Detail!$Q:$Q,$A3)</f>
        <v>0</v>
      </c>
      <c r="K3" s="113">
        <f>SUMIFS(Detail!$I:$I,Detail!$K:$K,K$1,Detail!$Q:$Q,$A3)</f>
        <v>0</v>
      </c>
      <c r="L3" s="113">
        <f>SUMIFS(Detail!$I:$I,Detail!$K:$K,L$1,Detail!$Q:$Q,$A3)</f>
        <v>0</v>
      </c>
      <c r="M3" s="113">
        <f>SUMIFS(Detail!$I:$I,Detail!$K:$K,M$1,Detail!$Q:$Q,$A3)</f>
        <v>0</v>
      </c>
      <c r="N3" s="113">
        <f>SUMIFS(Detail!$I:$I,Detail!$K:$K,N$1,Detail!$Q:$Q,$A3)</f>
        <v>0</v>
      </c>
    </row>
    <row r="4" spans="1:14" ht="55.15" customHeight="1" x14ac:dyDescent="0.25">
      <c r="A4" s="81" t="s">
        <v>27</v>
      </c>
      <c r="B4" s="93">
        <f t="shared" ref="B4:B37" si="0">SUM(C4:N4)</f>
        <v>117524160</v>
      </c>
      <c r="C4" s="113">
        <f>SUMIFS(Detail!$I:$I,Detail!$K:$K,C$1,Detail!$Q:$Q,$A4)</f>
        <v>0</v>
      </c>
      <c r="D4" s="113">
        <f>SUMIFS(Detail!$I:$I,Detail!$K:$K,D$1,Detail!$Q:$Q,$A4)</f>
        <v>117524160</v>
      </c>
      <c r="E4" s="113">
        <f>SUMIFS(Detail!$I:$I,Detail!$K:$K,E$1,Detail!$Q:$Q,$A4)</f>
        <v>0</v>
      </c>
      <c r="F4" s="113">
        <f>SUMIFS(Detail!$I:$I,Detail!$K:$K,F$1,Detail!$Q:$Q,$A4)</f>
        <v>0</v>
      </c>
      <c r="G4" s="113">
        <f>SUMIFS(Detail!$I:$I,Detail!$K:$K,G$1,Detail!$Q:$Q,$A4)</f>
        <v>0</v>
      </c>
      <c r="H4" s="113">
        <f>SUMIFS(Detail!$I:$I,Detail!$K:$K,H$1,Detail!$Q:$Q,$A4)</f>
        <v>0</v>
      </c>
      <c r="I4" s="113">
        <f>SUMIFS(Detail!$I:$I,Detail!$K:$K,I$1,Detail!$Q:$Q,$A4)</f>
        <v>0</v>
      </c>
      <c r="J4" s="113">
        <f>SUMIFS(Detail!$I:$I,Detail!$K:$K,J$1,Detail!$Q:$Q,$A4)</f>
        <v>0</v>
      </c>
      <c r="K4" s="113">
        <f>SUMIFS(Detail!$I:$I,Detail!$K:$K,K$1,Detail!$Q:$Q,$A4)</f>
        <v>0</v>
      </c>
      <c r="L4" s="113">
        <f>SUMIFS(Detail!$I:$I,Detail!$K:$K,L$1,Detail!$Q:$Q,$A4)</f>
        <v>0</v>
      </c>
      <c r="M4" s="113">
        <f>SUMIFS(Detail!$I:$I,Detail!$K:$K,M$1,Detail!$Q:$Q,$A4)</f>
        <v>0</v>
      </c>
      <c r="N4" s="113">
        <f>SUMIFS(Detail!$I:$I,Detail!$K:$K,N$1,Detail!$Q:$Q,$A4)</f>
        <v>0</v>
      </c>
    </row>
    <row r="5" spans="1:14" ht="55.15" customHeight="1" x14ac:dyDescent="0.25">
      <c r="A5" s="81" t="s">
        <v>30</v>
      </c>
      <c r="B5" s="93">
        <f t="shared" si="0"/>
        <v>0</v>
      </c>
      <c r="C5" s="113">
        <f>SUMIFS(Detail!$I:$I,Detail!$K:$K,C$1,Detail!$Q:$Q,$A5)</f>
        <v>0</v>
      </c>
      <c r="D5" s="113">
        <f>SUMIFS(Detail!$I:$I,Detail!$K:$K,D$1,Detail!$Q:$Q,$A5)</f>
        <v>0</v>
      </c>
      <c r="E5" s="113">
        <f>SUMIFS(Detail!$I:$I,Detail!$K:$K,E$1,Detail!$Q:$Q,$A5)</f>
        <v>0</v>
      </c>
      <c r="F5" s="113">
        <f>SUMIFS(Detail!$I:$I,Detail!$K:$K,F$1,Detail!$Q:$Q,$A5)</f>
        <v>0</v>
      </c>
      <c r="G5" s="113">
        <f>SUMIFS(Detail!$I:$I,Detail!$K:$K,G$1,Detail!$Q:$Q,$A5)</f>
        <v>0</v>
      </c>
      <c r="H5" s="113">
        <f>SUMIFS(Detail!$I:$I,Detail!$K:$K,H$1,Detail!$Q:$Q,$A5)</f>
        <v>0</v>
      </c>
      <c r="I5" s="113">
        <f>SUMIFS(Detail!$I:$I,Detail!$K:$K,I$1,Detail!$Q:$Q,$A5)</f>
        <v>0</v>
      </c>
      <c r="J5" s="113">
        <f>SUMIFS(Detail!$I:$I,Detail!$K:$K,J$1,Detail!$Q:$Q,$A5)</f>
        <v>0</v>
      </c>
      <c r="K5" s="113">
        <f>SUMIFS(Detail!$I:$I,Detail!$K:$K,K$1,Detail!$Q:$Q,$A5)</f>
        <v>0</v>
      </c>
      <c r="L5" s="113">
        <f>SUMIFS(Detail!$I:$I,Detail!$K:$K,L$1,Detail!$Q:$Q,$A5)</f>
        <v>0</v>
      </c>
      <c r="M5" s="113">
        <f>SUMIFS(Detail!$I:$I,Detail!$K:$K,M$1,Detail!$Q:$Q,$A5)</f>
        <v>0</v>
      </c>
      <c r="N5" s="113">
        <f>SUMIFS(Detail!$I:$I,Detail!$K:$K,N$1,Detail!$Q:$Q,$A5)</f>
        <v>0</v>
      </c>
    </row>
    <row r="6" spans="1:14" ht="55.15" customHeight="1" x14ac:dyDescent="0.25">
      <c r="A6" s="81" t="s">
        <v>34</v>
      </c>
      <c r="B6" s="93">
        <f t="shared" si="0"/>
        <v>321936300</v>
      </c>
      <c r="C6" s="113">
        <f>SUMIFS(Detail!$I:$I,Detail!$K:$K,C$1,Detail!$Q:$Q,$A6)</f>
        <v>0</v>
      </c>
      <c r="D6" s="113">
        <f>SUMIFS(Detail!$I:$I,Detail!$K:$K,D$1,Detail!$Q:$Q,$A6)</f>
        <v>0</v>
      </c>
      <c r="E6" s="113">
        <f>SUMIFS(Detail!$I:$I,Detail!$K:$K,E$1,Detail!$Q:$Q,$A6)</f>
        <v>0</v>
      </c>
      <c r="F6" s="113">
        <f>SUMIFS(Detail!$I:$I,Detail!$K:$K,F$1,Detail!$Q:$Q,$A6)</f>
        <v>0</v>
      </c>
      <c r="G6" s="113">
        <f>SUMIFS(Detail!$I:$I,Detail!$K:$K,G$1,Detail!$Q:$Q,$A6)</f>
        <v>11958300</v>
      </c>
      <c r="H6" s="113">
        <f>SUMIFS(Detail!$I:$I,Detail!$K:$K,H$1,Detail!$Q:$Q,$A6)</f>
        <v>0</v>
      </c>
      <c r="I6" s="113">
        <f>SUMIFS(Detail!$I:$I,Detail!$K:$K,I$1,Detail!$Q:$Q,$A6)</f>
        <v>308508000</v>
      </c>
      <c r="J6" s="113">
        <f>SUMIFS(Detail!$I:$I,Detail!$K:$K,J$1,Detail!$Q:$Q,$A6)</f>
        <v>0</v>
      </c>
      <c r="K6" s="113">
        <f>SUMIFS(Detail!$I:$I,Detail!$K:$K,K$1,Detail!$Q:$Q,$A6)</f>
        <v>1470000</v>
      </c>
      <c r="L6" s="113">
        <f>SUMIFS(Detail!$I:$I,Detail!$K:$K,L$1,Detail!$Q:$Q,$A6)</f>
        <v>0</v>
      </c>
      <c r="M6" s="113">
        <f>SUMIFS(Detail!$I:$I,Detail!$K:$K,M$1,Detail!$Q:$Q,$A6)</f>
        <v>0</v>
      </c>
      <c r="N6" s="113">
        <f>SUMIFS(Detail!$I:$I,Detail!$K:$K,N$1,Detail!$Q:$Q,$A6)</f>
        <v>0</v>
      </c>
    </row>
    <row r="7" spans="1:14" ht="55.15" customHeight="1" x14ac:dyDescent="0.25">
      <c r="A7" s="81" t="s">
        <v>35</v>
      </c>
      <c r="B7" s="93">
        <f t="shared" si="0"/>
        <v>12640000</v>
      </c>
      <c r="C7" s="113">
        <f>SUMIFS(Detail!$I:$I,Detail!$K:$K,C$1,Detail!$Q:$Q,$A7)</f>
        <v>0</v>
      </c>
      <c r="D7" s="113">
        <f>SUMIFS(Detail!$I:$I,Detail!$K:$K,D$1,Detail!$Q:$Q,$A7)</f>
        <v>6760000</v>
      </c>
      <c r="E7" s="113">
        <f>SUMIFS(Detail!$I:$I,Detail!$K:$K,E$1,Detail!$Q:$Q,$A7)</f>
        <v>0</v>
      </c>
      <c r="F7" s="113">
        <f>SUMIFS(Detail!$I:$I,Detail!$K:$K,F$1,Detail!$Q:$Q,$A7)</f>
        <v>0</v>
      </c>
      <c r="G7" s="113">
        <f>SUMIFS(Detail!$I:$I,Detail!$K:$K,G$1,Detail!$Q:$Q,$A7)</f>
        <v>0</v>
      </c>
      <c r="H7" s="113">
        <f>SUMIFS(Detail!$I:$I,Detail!$K:$K,H$1,Detail!$Q:$Q,$A7)</f>
        <v>0</v>
      </c>
      <c r="I7" s="113">
        <f>SUMIFS(Detail!$I:$I,Detail!$K:$K,I$1,Detail!$Q:$Q,$A7)</f>
        <v>2940000</v>
      </c>
      <c r="J7" s="113">
        <f>SUMIFS(Detail!$I:$I,Detail!$K:$K,J$1,Detail!$Q:$Q,$A7)</f>
        <v>2940000</v>
      </c>
      <c r="K7" s="113">
        <f>SUMIFS(Detail!$I:$I,Detail!$K:$K,K$1,Detail!$Q:$Q,$A7)</f>
        <v>0</v>
      </c>
      <c r="L7" s="113">
        <f>SUMIFS(Detail!$I:$I,Detail!$K:$K,L$1,Detail!$Q:$Q,$A7)</f>
        <v>0</v>
      </c>
      <c r="M7" s="113">
        <f>SUMIFS(Detail!$I:$I,Detail!$K:$K,M$1,Detail!$Q:$Q,$A7)</f>
        <v>0</v>
      </c>
      <c r="N7" s="113">
        <f>SUMIFS(Detail!$I:$I,Detail!$K:$K,N$1,Detail!$Q:$Q,$A7)</f>
        <v>0</v>
      </c>
    </row>
    <row r="8" spans="1:14" ht="55.15" customHeight="1" x14ac:dyDescent="0.25">
      <c r="A8" s="81" t="s">
        <v>38</v>
      </c>
      <c r="B8" s="93">
        <f t="shared" si="0"/>
        <v>21990000</v>
      </c>
      <c r="C8" s="113">
        <f>SUMIFS(Detail!$I:$I,Detail!$K:$K,C$1,Detail!$Q:$Q,$A8)</f>
        <v>0</v>
      </c>
      <c r="D8" s="113">
        <f>SUMIFS(Detail!$I:$I,Detail!$K:$K,D$1,Detail!$Q:$Q,$A8)</f>
        <v>21990000</v>
      </c>
      <c r="E8" s="113">
        <f>SUMIFS(Detail!$I:$I,Detail!$K:$K,E$1,Detail!$Q:$Q,$A8)</f>
        <v>0</v>
      </c>
      <c r="F8" s="113">
        <f>SUMIFS(Detail!$I:$I,Detail!$K:$K,F$1,Detail!$Q:$Q,$A8)</f>
        <v>0</v>
      </c>
      <c r="G8" s="113">
        <f>SUMIFS(Detail!$I:$I,Detail!$K:$K,G$1,Detail!$Q:$Q,$A8)</f>
        <v>0</v>
      </c>
      <c r="H8" s="113">
        <f>SUMIFS(Detail!$I:$I,Detail!$K:$K,H$1,Detail!$Q:$Q,$A8)</f>
        <v>0</v>
      </c>
      <c r="I8" s="113">
        <f>SUMIFS(Detail!$I:$I,Detail!$K:$K,I$1,Detail!$Q:$Q,$A8)</f>
        <v>0</v>
      </c>
      <c r="J8" s="113">
        <f>SUMIFS(Detail!$I:$I,Detail!$K:$K,J$1,Detail!$Q:$Q,$A8)</f>
        <v>0</v>
      </c>
      <c r="K8" s="113">
        <f>SUMIFS(Detail!$I:$I,Detail!$K:$K,K$1,Detail!$Q:$Q,$A8)</f>
        <v>0</v>
      </c>
      <c r="L8" s="113">
        <f>SUMIFS(Detail!$I:$I,Detail!$K:$K,L$1,Detail!$Q:$Q,$A8)</f>
        <v>0</v>
      </c>
      <c r="M8" s="113">
        <f>SUMIFS(Detail!$I:$I,Detail!$K:$K,M$1,Detail!$Q:$Q,$A8)</f>
        <v>0</v>
      </c>
      <c r="N8" s="113">
        <f>SUMIFS(Detail!$I:$I,Detail!$K:$K,N$1,Detail!$Q:$Q,$A8)</f>
        <v>0</v>
      </c>
    </row>
    <row r="9" spans="1:14" ht="55.15" customHeight="1" x14ac:dyDescent="0.25">
      <c r="A9" s="81" t="s">
        <v>41</v>
      </c>
      <c r="B9" s="93">
        <f t="shared" si="0"/>
        <v>0</v>
      </c>
      <c r="C9" s="113">
        <f>SUMIFS(Detail!$I:$I,Detail!$K:$K,C$1,Detail!$Q:$Q,$A9)</f>
        <v>0</v>
      </c>
      <c r="D9" s="113">
        <f>SUMIFS(Detail!$I:$I,Detail!$K:$K,D$1,Detail!$Q:$Q,$A9)</f>
        <v>0</v>
      </c>
      <c r="E9" s="113">
        <f>SUMIFS(Detail!$I:$I,Detail!$K:$K,E$1,Detail!$Q:$Q,$A9)</f>
        <v>0</v>
      </c>
      <c r="F9" s="113">
        <f>SUMIFS(Detail!$I:$I,Detail!$K:$K,F$1,Detail!$Q:$Q,$A9)</f>
        <v>0</v>
      </c>
      <c r="G9" s="113">
        <f>SUMIFS(Detail!$I:$I,Detail!$K:$K,G$1,Detail!$Q:$Q,$A9)</f>
        <v>0</v>
      </c>
      <c r="H9" s="113">
        <f>SUMIFS(Detail!$I:$I,Detail!$K:$K,H$1,Detail!$Q:$Q,$A9)</f>
        <v>0</v>
      </c>
      <c r="I9" s="113">
        <f>SUMIFS(Detail!$I:$I,Detail!$K:$K,I$1,Detail!$Q:$Q,$A9)</f>
        <v>0</v>
      </c>
      <c r="J9" s="113">
        <f>SUMIFS(Detail!$I:$I,Detail!$K:$K,J$1,Detail!$Q:$Q,$A9)</f>
        <v>0</v>
      </c>
      <c r="K9" s="113">
        <f>SUMIFS(Detail!$I:$I,Detail!$K:$K,K$1,Detail!$Q:$Q,$A9)</f>
        <v>0</v>
      </c>
      <c r="L9" s="113">
        <f>SUMIFS(Detail!$I:$I,Detail!$K:$K,L$1,Detail!$Q:$Q,$A9)</f>
        <v>0</v>
      </c>
      <c r="M9" s="113">
        <f>SUMIFS(Detail!$I:$I,Detail!$K:$K,M$1,Detail!$Q:$Q,$A9)</f>
        <v>0</v>
      </c>
      <c r="N9" s="113">
        <f>SUMIFS(Detail!$I:$I,Detail!$K:$K,N$1,Detail!$Q:$Q,$A9)</f>
        <v>0</v>
      </c>
    </row>
    <row r="10" spans="1:14" ht="55.15" customHeight="1" x14ac:dyDescent="0.25">
      <c r="A10" s="81" t="s">
        <v>43</v>
      </c>
      <c r="B10" s="93">
        <f t="shared" si="0"/>
        <v>6720000</v>
      </c>
      <c r="C10" s="113">
        <f>SUMIFS(Detail!$I:$I,Detail!$K:$K,C$1,Detail!$Q:$Q,$A10)</f>
        <v>0</v>
      </c>
      <c r="D10" s="113">
        <f>SUMIFS(Detail!$I:$I,Detail!$K:$K,D$1,Detail!$Q:$Q,$A10)</f>
        <v>6720000</v>
      </c>
      <c r="E10" s="113">
        <f>SUMIFS(Detail!$I:$I,Detail!$K:$K,E$1,Detail!$Q:$Q,$A10)</f>
        <v>0</v>
      </c>
      <c r="F10" s="113">
        <f>SUMIFS(Detail!$I:$I,Detail!$K:$K,F$1,Detail!$Q:$Q,$A10)</f>
        <v>0</v>
      </c>
      <c r="G10" s="113">
        <f>SUMIFS(Detail!$I:$I,Detail!$K:$K,G$1,Detail!$Q:$Q,$A10)</f>
        <v>0</v>
      </c>
      <c r="H10" s="113">
        <f>SUMIFS(Detail!$I:$I,Detail!$K:$K,H$1,Detail!$Q:$Q,$A10)</f>
        <v>0</v>
      </c>
      <c r="I10" s="113">
        <f>SUMIFS(Detail!$I:$I,Detail!$K:$K,I$1,Detail!$Q:$Q,$A10)</f>
        <v>0</v>
      </c>
      <c r="J10" s="113">
        <f>SUMIFS(Detail!$I:$I,Detail!$K:$K,J$1,Detail!$Q:$Q,$A10)</f>
        <v>0</v>
      </c>
      <c r="K10" s="113">
        <f>SUMIFS(Detail!$I:$I,Detail!$K:$K,K$1,Detail!$Q:$Q,$A10)</f>
        <v>0</v>
      </c>
      <c r="L10" s="113">
        <f>SUMIFS(Detail!$I:$I,Detail!$K:$K,L$1,Detail!$Q:$Q,$A10)</f>
        <v>0</v>
      </c>
      <c r="M10" s="113">
        <f>SUMIFS(Detail!$I:$I,Detail!$K:$K,M$1,Detail!$Q:$Q,$A10)</f>
        <v>0</v>
      </c>
      <c r="N10" s="113">
        <f>SUMIFS(Detail!$I:$I,Detail!$K:$K,N$1,Detail!$Q:$Q,$A10)</f>
        <v>0</v>
      </c>
    </row>
    <row r="11" spans="1:14" ht="55.15" customHeight="1" x14ac:dyDescent="0.25">
      <c r="A11" s="92" t="s">
        <v>45</v>
      </c>
      <c r="B11" s="93">
        <f>SUM(B12:B17)</f>
        <v>488699500</v>
      </c>
      <c r="C11" s="113">
        <f>SUMIFS(Detail!$I:$I,Detail!$K:$K,C$1,Detail!$Q:$Q,$A11)</f>
        <v>0</v>
      </c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</row>
    <row r="12" spans="1:14" ht="55.15" customHeight="1" x14ac:dyDescent="0.25">
      <c r="A12" s="78" t="s">
        <v>46</v>
      </c>
      <c r="B12" s="93">
        <f>SUM(C12:N12)</f>
        <v>10000000</v>
      </c>
      <c r="C12" s="113">
        <f>SUMIFS(Detail!$I:$I,Detail!$K:$K,C$1,Detail!$Q:$Q,$A12)</f>
        <v>0</v>
      </c>
      <c r="D12" s="113">
        <f>SUMIFS(Detail!$I:$I,Detail!$K:$K,D$1,Detail!$Q:$Q,$A12)</f>
        <v>10000000</v>
      </c>
      <c r="E12" s="113">
        <f>SUMIFS(Detail!$I:$I,Detail!$K:$K,E$1,Detail!$Q:$Q,$A12)</f>
        <v>0</v>
      </c>
      <c r="F12" s="113">
        <f>SUMIFS(Detail!$I:$I,Detail!$K:$K,F$1,Detail!$Q:$Q,$A12)</f>
        <v>0</v>
      </c>
      <c r="G12" s="113">
        <f>SUMIFS(Detail!$I:$I,Detail!$K:$K,G$1,Detail!$Q:$Q,$A12)</f>
        <v>0</v>
      </c>
      <c r="H12" s="113">
        <f>SUMIFS(Detail!$I:$I,Detail!$K:$K,H$1,Detail!$Q:$Q,$A12)</f>
        <v>0</v>
      </c>
      <c r="I12" s="113">
        <f>SUMIFS(Detail!$I:$I,Detail!$K:$K,I$1,Detail!$Q:$Q,$A12)</f>
        <v>0</v>
      </c>
      <c r="J12" s="113">
        <f>SUMIFS(Detail!$I:$I,Detail!$K:$K,J$1,Detail!$Q:$Q,$A12)</f>
        <v>0</v>
      </c>
      <c r="K12" s="113">
        <f>SUMIFS(Detail!$I:$I,Detail!$K:$K,K$1,Detail!$Q:$Q,$A12)</f>
        <v>0</v>
      </c>
      <c r="L12" s="113">
        <f>SUMIFS(Detail!$I:$I,Detail!$K:$K,L$1,Detail!$Q:$Q,$A12)</f>
        <v>0</v>
      </c>
      <c r="M12" s="113">
        <f>SUMIFS(Detail!$I:$I,Detail!$K:$K,M$1,Detail!$Q:$Q,$A12)</f>
        <v>0</v>
      </c>
      <c r="N12" s="113">
        <f>SUMIFS(Detail!$I:$I,Detail!$K:$K,N$1,Detail!$Q:$Q,$A12)</f>
        <v>0</v>
      </c>
    </row>
    <row r="13" spans="1:14" ht="55.15" customHeight="1" x14ac:dyDescent="0.25">
      <c r="A13" s="78" t="s">
        <v>48</v>
      </c>
      <c r="B13" s="93">
        <f t="shared" si="0"/>
        <v>4730000</v>
      </c>
      <c r="C13" s="113">
        <f>SUMIFS(Detail!$I:$I,Detail!$K:$K,C$1,Detail!$Q:$Q,$A13)</f>
        <v>0</v>
      </c>
      <c r="D13" s="113">
        <f>SUMIFS(Detail!$I:$I,Detail!$K:$K,D$1,Detail!$Q:$Q,$A13)</f>
        <v>0</v>
      </c>
      <c r="E13" s="113">
        <f>SUMIFS(Detail!$I:$I,Detail!$K:$K,E$1,Detail!$Q:$Q,$A13)</f>
        <v>0</v>
      </c>
      <c r="F13" s="113">
        <f>SUMIFS(Detail!$I:$I,Detail!$K:$K,F$1,Detail!$Q:$Q,$A13)</f>
        <v>4730000</v>
      </c>
      <c r="G13" s="113">
        <f>SUMIFS(Detail!$I:$I,Detail!$K:$K,G$1,Detail!$Q:$Q,$A13)</f>
        <v>0</v>
      </c>
      <c r="H13" s="113">
        <f>SUMIFS(Detail!$I:$I,Detail!$K:$K,H$1,Detail!$Q:$Q,$A13)</f>
        <v>0</v>
      </c>
      <c r="I13" s="113">
        <f>SUMIFS(Detail!$I:$I,Detail!$K:$K,I$1,Detail!$Q:$Q,$A13)</f>
        <v>0</v>
      </c>
      <c r="J13" s="113">
        <f>SUMIFS(Detail!$I:$I,Detail!$K:$K,J$1,Detail!$Q:$Q,$A13)</f>
        <v>0</v>
      </c>
      <c r="K13" s="113">
        <f>SUMIFS(Detail!$I:$I,Detail!$K:$K,K$1,Detail!$Q:$Q,$A13)</f>
        <v>0</v>
      </c>
      <c r="L13" s="113">
        <f>SUMIFS(Detail!$I:$I,Detail!$K:$K,L$1,Detail!$Q:$Q,$A13)</f>
        <v>0</v>
      </c>
      <c r="M13" s="113">
        <f>SUMIFS(Detail!$I:$I,Detail!$K:$K,M$1,Detail!$Q:$Q,$A13)</f>
        <v>0</v>
      </c>
      <c r="N13" s="113">
        <f>SUMIFS(Detail!$I:$I,Detail!$K:$K,N$1,Detail!$Q:$Q,$A13)</f>
        <v>0</v>
      </c>
    </row>
    <row r="14" spans="1:14" ht="55.15" customHeight="1" x14ac:dyDescent="0.25">
      <c r="A14" s="78" t="s">
        <v>50</v>
      </c>
      <c r="B14" s="93">
        <f t="shared" si="0"/>
        <v>0</v>
      </c>
      <c r="C14" s="113">
        <f>SUMIFS(Detail!$I:$I,Detail!$K:$K,C$1,Detail!$Q:$Q,$A14)</f>
        <v>0</v>
      </c>
      <c r="D14" s="113">
        <f>SUMIFS(Detail!$I:$I,Detail!$K:$K,D$1,Detail!$Q:$Q,$A14)</f>
        <v>0</v>
      </c>
      <c r="E14" s="113">
        <f>SUMIFS(Detail!$I:$I,Detail!$K:$K,E$1,Detail!$Q:$Q,$A14)</f>
        <v>0</v>
      </c>
      <c r="F14" s="113">
        <f>SUMIFS(Detail!$I:$I,Detail!$K:$K,F$1,Detail!$Q:$Q,$A14)</f>
        <v>0</v>
      </c>
      <c r="G14" s="113">
        <f>SUMIFS(Detail!$I:$I,Detail!$K:$K,G$1,Detail!$Q:$Q,$A14)</f>
        <v>0</v>
      </c>
      <c r="H14" s="113">
        <f>SUMIFS(Detail!$I:$I,Detail!$K:$K,H$1,Detail!$Q:$Q,$A14)</f>
        <v>0</v>
      </c>
      <c r="I14" s="113">
        <f>SUMIFS(Detail!$I:$I,Detail!$K:$K,I$1,Detail!$Q:$Q,$A14)</f>
        <v>0</v>
      </c>
      <c r="J14" s="113">
        <f>SUMIFS(Detail!$I:$I,Detail!$K:$K,J$1,Detail!$Q:$Q,$A14)</f>
        <v>0</v>
      </c>
      <c r="K14" s="113">
        <f>SUMIFS(Detail!$I:$I,Detail!$K:$K,K$1,Detail!$Q:$Q,$A14)</f>
        <v>0</v>
      </c>
      <c r="L14" s="113">
        <f>SUMIFS(Detail!$I:$I,Detail!$K:$K,L$1,Detail!$Q:$Q,$A14)</f>
        <v>0</v>
      </c>
      <c r="M14" s="113">
        <f>SUMIFS(Detail!$I:$I,Detail!$K:$K,M$1,Detail!$Q:$Q,$A14)</f>
        <v>0</v>
      </c>
      <c r="N14" s="113">
        <f>SUMIFS(Detail!$I:$I,Detail!$K:$K,N$1,Detail!$Q:$Q,$A14)</f>
        <v>0</v>
      </c>
    </row>
    <row r="15" spans="1:14" ht="55.15" customHeight="1" x14ac:dyDescent="0.25">
      <c r="A15" s="83" t="s">
        <v>53</v>
      </c>
      <c r="B15" s="93">
        <f t="shared" si="0"/>
        <v>73336500</v>
      </c>
      <c r="C15" s="113">
        <f>SUMIFS(Detail!$I:$I,Detail!$K:$K,C$1,Detail!$Q:$Q,$A15)</f>
        <v>0</v>
      </c>
      <c r="D15" s="113">
        <f>SUMIFS(Detail!$I:$I,Detail!$K:$K,D$1,Detail!$Q:$Q,$A15)</f>
        <v>45886500</v>
      </c>
      <c r="E15" s="113">
        <f>SUMIFS(Detail!$I:$I,Detail!$K:$K,E$1,Detail!$Q:$Q,$A15)</f>
        <v>0</v>
      </c>
      <c r="F15" s="113">
        <f>SUMIFS(Detail!$I:$I,Detail!$K:$K,F$1,Detail!$Q:$Q,$A15)</f>
        <v>7700000</v>
      </c>
      <c r="G15" s="113">
        <f>SUMIFS(Detail!$I:$I,Detail!$K:$K,G$1,Detail!$Q:$Q,$A15)</f>
        <v>0</v>
      </c>
      <c r="H15" s="113">
        <f>SUMIFS(Detail!$I:$I,Detail!$K:$K,H$1,Detail!$Q:$Q,$A15)</f>
        <v>0</v>
      </c>
      <c r="I15" s="113">
        <f>SUMIFS(Detail!$I:$I,Detail!$K:$K,I$1,Detail!$Q:$Q,$A15)</f>
        <v>19750000</v>
      </c>
      <c r="J15" s="113">
        <f>SUMIFS(Detail!$I:$I,Detail!$K:$K,J$1,Detail!$Q:$Q,$A15)</f>
        <v>0</v>
      </c>
      <c r="K15" s="113">
        <f>SUMIFS(Detail!$I:$I,Detail!$K:$K,K$1,Detail!$Q:$Q,$A15)</f>
        <v>0</v>
      </c>
      <c r="L15" s="113">
        <f>SUMIFS(Detail!$I:$I,Detail!$K:$K,L$1,Detail!$Q:$Q,$A15)</f>
        <v>0</v>
      </c>
      <c r="M15" s="113">
        <f>SUMIFS(Detail!$I:$I,Detail!$K:$K,M$1,Detail!$Q:$Q,$A15)</f>
        <v>0</v>
      </c>
      <c r="N15" s="113">
        <f>SUMIFS(Detail!$I:$I,Detail!$K:$K,N$1,Detail!$Q:$Q,$A15)</f>
        <v>0</v>
      </c>
    </row>
    <row r="16" spans="1:14" ht="55.15" customHeight="1" x14ac:dyDescent="0.25">
      <c r="A16" s="86" t="s">
        <v>55</v>
      </c>
      <c r="B16" s="93">
        <f t="shared" si="0"/>
        <v>209179000</v>
      </c>
      <c r="C16" s="113">
        <f>SUMIFS(Detail!$I:$I,Detail!$K:$K,C$1,Detail!$Q:$Q,$A16)</f>
        <v>0</v>
      </c>
      <c r="D16" s="113">
        <f>SUMIFS(Detail!$I:$I,Detail!$K:$K,D$1,Detail!$Q:$Q,$A16)</f>
        <v>0</v>
      </c>
      <c r="E16" s="113">
        <f>SUMIFS(Detail!$I:$I,Detail!$K:$K,E$1,Detail!$Q:$Q,$A16)</f>
        <v>0</v>
      </c>
      <c r="F16" s="113">
        <f>SUMIFS(Detail!$I:$I,Detail!$K:$K,F$1,Detail!$Q:$Q,$A16)</f>
        <v>8448000</v>
      </c>
      <c r="G16" s="113">
        <f>SUMIFS(Detail!$I:$I,Detail!$K:$K,G$1,Detail!$Q:$Q,$A16)</f>
        <v>7744000</v>
      </c>
      <c r="H16" s="113">
        <f>SUMIFS(Detail!$I:$I,Detail!$K:$K,H$1,Detail!$Q:$Q,$A16)</f>
        <v>0</v>
      </c>
      <c r="I16" s="113">
        <f>SUMIFS(Detail!$I:$I,Detail!$K:$K,I$1,Detail!$Q:$Q,$A16)</f>
        <v>192987000</v>
      </c>
      <c r="J16" s="113">
        <f>SUMIFS(Detail!$I:$I,Detail!$K:$K,J$1,Detail!$Q:$Q,$A16)</f>
        <v>0</v>
      </c>
      <c r="K16" s="113">
        <f>SUMIFS(Detail!$I:$I,Detail!$K:$K,K$1,Detail!$Q:$Q,$A16)</f>
        <v>0</v>
      </c>
      <c r="L16" s="113">
        <f>SUMIFS(Detail!$I:$I,Detail!$K:$K,L$1,Detail!$Q:$Q,$A16)</f>
        <v>0</v>
      </c>
      <c r="M16" s="113">
        <f>SUMIFS(Detail!$I:$I,Detail!$K:$K,M$1,Detail!$Q:$Q,$A16)</f>
        <v>0</v>
      </c>
      <c r="N16" s="113">
        <f>SUMIFS(Detail!$I:$I,Detail!$K:$K,N$1,Detail!$Q:$Q,$A16)</f>
        <v>0</v>
      </c>
    </row>
    <row r="17" spans="1:14" ht="55.15" customHeight="1" x14ac:dyDescent="0.25">
      <c r="A17" s="78" t="s">
        <v>58</v>
      </c>
      <c r="B17" s="93">
        <f>SUM(C17:N17)</f>
        <v>191454000</v>
      </c>
      <c r="C17" s="113">
        <f>SUMIFS(Detail!$I:$I,Detail!$K:$K,C$1,Detail!$Q:$Q,$A17)</f>
        <v>12430000</v>
      </c>
      <c r="D17" s="113">
        <f>SUMIFS(Detail!$I:$I,Detail!$K:$K,D$1,Detail!$Q:$Q,$A17)</f>
        <v>12677500</v>
      </c>
      <c r="E17" s="113">
        <f>SUMIFS(Detail!$I:$I,Detail!$K:$K,E$1,Detail!$Q:$Q,$A17)</f>
        <v>50371500</v>
      </c>
      <c r="F17" s="113">
        <f>SUMIFS(Detail!$I:$I,Detail!$K:$K,F$1,Detail!$Q:$Q,$A17)</f>
        <v>10934000</v>
      </c>
      <c r="G17" s="113">
        <f>SUMIFS(Detail!$I:$I,Detail!$K:$K,G$1,Detail!$Q:$Q,$A17)</f>
        <v>21582500</v>
      </c>
      <c r="H17" s="113">
        <f>SUMIFS(Detail!$I:$I,Detail!$K:$K,H$1,Detail!$Q:$Q,$A17)</f>
        <v>13360500</v>
      </c>
      <c r="I17" s="113">
        <f>SUMIFS(Detail!$I:$I,Detail!$K:$K,I$1,Detail!$Q:$Q,$A17)</f>
        <v>12232000</v>
      </c>
      <c r="J17" s="113">
        <f>SUMIFS(Detail!$I:$I,Detail!$K:$K,J$1,Detail!$Q:$Q,$A17)</f>
        <v>34430000</v>
      </c>
      <c r="K17" s="113">
        <f>SUMIFS(Detail!$I:$I,Detail!$K:$K,K$1,Detail!$Q:$Q,$A17)</f>
        <v>23436000</v>
      </c>
      <c r="L17" s="113">
        <f>SUMIFS(Detail!$I:$I,Detail!$K:$K,L$1,Detail!$Q:$Q,$A17)</f>
        <v>0</v>
      </c>
      <c r="M17" s="113">
        <f>SUMIFS(Detail!$I:$I,Detail!$K:$K,M$1,Detail!$Q:$Q,$A17)</f>
        <v>0</v>
      </c>
      <c r="N17" s="113">
        <f>SUMIFS(Detail!$I:$I,Detail!$K:$K,N$1,Detail!$Q:$Q,$A17)</f>
        <v>0</v>
      </c>
    </row>
    <row r="18" spans="1:14" ht="55.15" customHeight="1" x14ac:dyDescent="0.25">
      <c r="A18" s="74" t="s">
        <v>61</v>
      </c>
      <c r="B18" s="93">
        <f>SUM(B19:B26)</f>
        <v>147968700</v>
      </c>
      <c r="C18" s="113">
        <f>SUMIFS(Detail!$I:$I,Detail!$K:$K,C$1,Detail!$Q:$Q,$A18)</f>
        <v>0</v>
      </c>
      <c r="D18" s="113">
        <f>SUMIFS(Detail!$I:$I,Detail!$K:$K,D$1,Detail!$Q:$Q,$A18)</f>
        <v>0</v>
      </c>
      <c r="E18" s="113">
        <f>SUMIFS(Detail!$I:$I,Detail!$K:$K,E$1,Detail!$Q:$Q,$A18)</f>
        <v>0</v>
      </c>
      <c r="F18" s="113">
        <f>SUMIFS(Detail!$I:$I,Detail!$K:$K,F$1,Detail!$Q:$Q,$A18)</f>
        <v>0</v>
      </c>
      <c r="G18" s="113">
        <f>SUMIFS(Detail!$I:$I,Detail!$K:$K,G$1,Detail!$Q:$Q,$A18)</f>
        <v>0</v>
      </c>
      <c r="H18" s="113">
        <f>SUMIFS(Detail!$I:$I,Detail!$K:$K,H$1,Detail!$Q:$Q,$A18)</f>
        <v>0</v>
      </c>
      <c r="I18" s="113">
        <f>SUMIFS(Detail!$I:$I,Detail!$K:$K,I$1,Detail!$Q:$Q,$A18)</f>
        <v>0</v>
      </c>
      <c r="J18" s="113">
        <f>SUMIFS(Detail!$I:$I,Detail!$K:$K,J$1,Detail!$Q:$Q,$A18)</f>
        <v>0</v>
      </c>
      <c r="K18" s="113">
        <f>SUMIFS(Detail!$I:$I,Detail!$K:$K,K$1,Detail!$Q:$Q,$A18)</f>
        <v>0</v>
      </c>
      <c r="L18" s="113">
        <f>SUMIFS(Detail!$I:$I,Detail!$K:$K,L$1,Detail!$Q:$Q,$A18)</f>
        <v>0</v>
      </c>
      <c r="M18" s="113">
        <f>SUMIFS(Detail!$I:$I,Detail!$K:$K,M$1,Detail!$Q:$Q,$A18)</f>
        <v>0</v>
      </c>
      <c r="N18" s="113">
        <f>SUMIFS(Detail!$I:$I,Detail!$K:$K,N$1,Detail!$Q:$Q,$A18)</f>
        <v>0</v>
      </c>
    </row>
    <row r="19" spans="1:14" ht="55.15" customHeight="1" x14ac:dyDescent="0.25">
      <c r="A19" s="80" t="s">
        <v>62</v>
      </c>
      <c r="B19" s="93">
        <f t="shared" si="0"/>
        <v>40150000</v>
      </c>
      <c r="C19" s="113">
        <f>SUMIFS(Detail!$I:$I,Detail!$K:$K,C$1,Detail!$Q:$Q,$A19)</f>
        <v>0</v>
      </c>
      <c r="D19" s="113">
        <f>SUMIFS(Detail!$I:$I,Detail!$K:$K,D$1,Detail!$Q:$Q,$A19)</f>
        <v>0</v>
      </c>
      <c r="E19" s="113">
        <f>SUMIFS(Detail!$I:$I,Detail!$K:$K,E$1,Detail!$Q:$Q,$A19)</f>
        <v>0</v>
      </c>
      <c r="F19" s="113">
        <f>SUMIFS(Detail!$I:$I,Detail!$K:$K,F$1,Detail!$Q:$Q,$A19)</f>
        <v>0</v>
      </c>
      <c r="G19" s="113">
        <f>SUMIFS(Detail!$I:$I,Detail!$K:$K,G$1,Detail!$Q:$Q,$A19)</f>
        <v>40150000</v>
      </c>
      <c r="H19" s="113">
        <f>SUMIFS(Detail!$I:$I,Detail!$K:$K,H$1,Detail!$Q:$Q,$A19)</f>
        <v>0</v>
      </c>
      <c r="I19" s="113">
        <f>SUMIFS(Detail!$I:$I,Detail!$K:$K,I$1,Detail!$Q:$Q,$A19)</f>
        <v>0</v>
      </c>
      <c r="J19" s="113">
        <f>SUMIFS(Detail!$I:$I,Detail!$K:$K,J$1,Detail!$Q:$Q,$A19)</f>
        <v>0</v>
      </c>
      <c r="K19" s="113">
        <f>SUMIFS(Detail!$I:$I,Detail!$K:$K,K$1,Detail!$Q:$Q,$A19)</f>
        <v>0</v>
      </c>
      <c r="L19" s="113">
        <f>SUMIFS(Detail!$I:$I,Detail!$K:$K,L$1,Detail!$Q:$Q,$A19)</f>
        <v>0</v>
      </c>
      <c r="M19" s="113">
        <f>SUMIFS(Detail!$I:$I,Detail!$K:$K,M$1,Detail!$Q:$Q,$A19)</f>
        <v>0</v>
      </c>
      <c r="N19" s="113">
        <f>SUMIFS(Detail!$I:$I,Detail!$K:$K,N$1,Detail!$Q:$Q,$A19)</f>
        <v>0</v>
      </c>
    </row>
    <row r="20" spans="1:14" ht="55.15" customHeight="1" x14ac:dyDescent="0.25">
      <c r="A20" s="83" t="s">
        <v>64</v>
      </c>
      <c r="B20" s="93">
        <f t="shared" si="0"/>
        <v>56649000</v>
      </c>
      <c r="C20" s="113">
        <f>SUMIFS(Detail!$I:$I,Detail!$K:$K,C$1,Detail!$Q:$Q,$A20)</f>
        <v>0</v>
      </c>
      <c r="D20" s="113">
        <f>SUMIFS(Detail!$I:$I,Detail!$K:$K,D$1,Detail!$Q:$Q,$A20)</f>
        <v>3910000</v>
      </c>
      <c r="E20" s="113">
        <f>SUMIFS(Detail!$I:$I,Detail!$K:$K,E$1,Detail!$Q:$Q,$A20)</f>
        <v>3910000</v>
      </c>
      <c r="F20" s="113">
        <f>SUMIFS(Detail!$I:$I,Detail!$K:$K,F$1,Detail!$Q:$Q,$A20)</f>
        <v>3910000</v>
      </c>
      <c r="G20" s="113">
        <f>SUMIFS(Detail!$I:$I,Detail!$K:$K,G$1,Detail!$Q:$Q,$A20)</f>
        <v>5166000</v>
      </c>
      <c r="H20" s="113">
        <f>SUMIFS(Detail!$I:$I,Detail!$K:$K,H$1,Detail!$Q:$Q,$A20)</f>
        <v>15130000</v>
      </c>
      <c r="I20" s="113">
        <f>SUMIFS(Detail!$I:$I,Detail!$K:$K,I$1,Detail!$Q:$Q,$A20)</f>
        <v>4570000</v>
      </c>
      <c r="J20" s="113">
        <f>SUMIFS(Detail!$I:$I,Detail!$K:$K,J$1,Detail!$Q:$Q,$A20)</f>
        <v>20053000</v>
      </c>
      <c r="K20" s="113">
        <f>SUMIFS(Detail!$I:$I,Detail!$K:$K,K$1,Detail!$Q:$Q,$A20)</f>
        <v>0</v>
      </c>
      <c r="L20" s="113">
        <f>SUMIFS(Detail!$I:$I,Detail!$K:$K,L$1,Detail!$Q:$Q,$A20)</f>
        <v>0</v>
      </c>
      <c r="M20" s="113">
        <f>SUMIFS(Detail!$I:$I,Detail!$K:$K,M$1,Detail!$Q:$Q,$A20)</f>
        <v>0</v>
      </c>
      <c r="N20" s="113">
        <f>SUMIFS(Detail!$I:$I,Detail!$K:$K,N$1,Detail!$Q:$Q,$A20)</f>
        <v>0</v>
      </c>
    </row>
    <row r="21" spans="1:14" ht="55.15" customHeight="1" x14ac:dyDescent="0.25">
      <c r="A21" s="83" t="s">
        <v>65</v>
      </c>
      <c r="B21" s="93">
        <f t="shared" si="0"/>
        <v>3417000</v>
      </c>
      <c r="C21" s="113">
        <f>SUMIFS(Detail!$I:$I,Detail!$K:$K,C$1,Detail!$Q:$Q,$A21)</f>
        <v>0</v>
      </c>
      <c r="D21" s="113">
        <f>SUMIFS(Detail!$I:$I,Detail!$K:$K,D$1,Detail!$Q:$Q,$A21)</f>
        <v>319000</v>
      </c>
      <c r="E21" s="113">
        <f>SUMIFS(Detail!$I:$I,Detail!$K:$K,E$1,Detail!$Q:$Q,$A21)</f>
        <v>0</v>
      </c>
      <c r="F21" s="113">
        <f>SUMIFS(Detail!$I:$I,Detail!$K:$K,F$1,Detail!$Q:$Q,$A21)</f>
        <v>319000</v>
      </c>
      <c r="G21" s="113">
        <f>SUMIFS(Detail!$I:$I,Detail!$K:$K,G$1,Detail!$Q:$Q,$A21)</f>
        <v>0</v>
      </c>
      <c r="H21" s="113">
        <f>SUMIFS(Detail!$I:$I,Detail!$K:$K,H$1,Detail!$Q:$Q,$A21)</f>
        <v>0</v>
      </c>
      <c r="I21" s="113">
        <f>SUMIFS(Detail!$I:$I,Detail!$K:$K,I$1,Detail!$Q:$Q,$A21)</f>
        <v>2779000</v>
      </c>
      <c r="J21" s="113">
        <f>SUMIFS(Detail!$I:$I,Detail!$K:$K,J$1,Detail!$Q:$Q,$A21)</f>
        <v>0</v>
      </c>
      <c r="K21" s="113">
        <f>SUMIFS(Detail!$I:$I,Detail!$K:$K,K$1,Detail!$Q:$Q,$A21)</f>
        <v>0</v>
      </c>
      <c r="L21" s="113">
        <f>SUMIFS(Detail!$I:$I,Detail!$K:$K,L$1,Detail!$Q:$Q,$A21)</f>
        <v>0</v>
      </c>
      <c r="M21" s="113">
        <f>SUMIFS(Detail!$I:$I,Detail!$K:$K,M$1,Detail!$Q:$Q,$A21)</f>
        <v>0</v>
      </c>
      <c r="N21" s="113">
        <f>SUMIFS(Detail!$I:$I,Detail!$K:$K,N$1,Detail!$Q:$Q,$A21)</f>
        <v>0</v>
      </c>
    </row>
    <row r="22" spans="1:14" ht="55.15" customHeight="1" x14ac:dyDescent="0.25">
      <c r="A22" s="83" t="s">
        <v>67</v>
      </c>
      <c r="B22" s="93">
        <f t="shared" si="0"/>
        <v>0</v>
      </c>
      <c r="C22" s="113">
        <f>SUMIFS(Detail!$I:$I,Detail!$K:$K,C$1,Detail!$Q:$Q,$A22)</f>
        <v>0</v>
      </c>
      <c r="D22" s="113">
        <f>SUMIFS(Detail!$I:$I,Detail!$K:$K,D$1,Detail!$Q:$Q,$A22)</f>
        <v>0</v>
      </c>
      <c r="E22" s="113">
        <f>SUMIFS(Detail!$I:$I,Detail!$K:$K,E$1,Detail!$Q:$Q,$A22)</f>
        <v>0</v>
      </c>
      <c r="F22" s="113">
        <f>SUMIFS(Detail!$I:$I,Detail!$K:$K,F$1,Detail!$Q:$Q,$A22)</f>
        <v>0</v>
      </c>
      <c r="G22" s="113">
        <f>SUMIFS(Detail!$I:$I,Detail!$K:$K,G$1,Detail!$Q:$Q,$A22)</f>
        <v>0</v>
      </c>
      <c r="H22" s="113">
        <f>SUMIFS(Detail!$I:$I,Detail!$K:$K,H$1,Detail!$Q:$Q,$A22)</f>
        <v>0</v>
      </c>
      <c r="I22" s="113">
        <f>SUMIFS(Detail!$I:$I,Detail!$K:$K,I$1,Detail!$Q:$Q,$A22)</f>
        <v>0</v>
      </c>
      <c r="J22" s="113">
        <f>SUMIFS(Detail!$I:$I,Detail!$K:$K,J$1,Detail!$Q:$Q,$A22)</f>
        <v>0</v>
      </c>
      <c r="K22" s="113">
        <f>SUMIFS(Detail!$I:$I,Detail!$K:$K,K$1,Detail!$Q:$Q,$A22)</f>
        <v>0</v>
      </c>
      <c r="L22" s="113">
        <f>SUMIFS(Detail!$I:$I,Detail!$K:$K,L$1,Detail!$Q:$Q,$A22)</f>
        <v>0</v>
      </c>
      <c r="M22" s="113">
        <f>SUMIFS(Detail!$I:$I,Detail!$K:$K,M$1,Detail!$Q:$Q,$A22)</f>
        <v>0</v>
      </c>
      <c r="N22" s="113"/>
    </row>
    <row r="23" spans="1:14" ht="55.15" customHeight="1" x14ac:dyDescent="0.25">
      <c r="A23" s="83" t="s">
        <v>68</v>
      </c>
      <c r="B23" s="93">
        <f t="shared" si="0"/>
        <v>21061700</v>
      </c>
      <c r="C23" s="113">
        <f>SUMIFS(Detail!$I:$I,Detail!$K:$K,C$1,Detail!$Q:$Q,$A23)</f>
        <v>0</v>
      </c>
      <c r="D23" s="113">
        <f>SUMIFS(Detail!$I:$I,Detail!$K:$K,D$1,Detail!$Q:$Q,$A23)</f>
        <v>0</v>
      </c>
      <c r="E23" s="113">
        <f>SUMIFS(Detail!$I:$I,Detail!$K:$K,E$1,Detail!$Q:$Q,$A23)</f>
        <v>0</v>
      </c>
      <c r="F23" s="113">
        <f>SUMIFS(Detail!$I:$I,Detail!$K:$K,F$1,Detail!$Q:$Q,$A23)</f>
        <v>10402700</v>
      </c>
      <c r="G23" s="113">
        <f>SUMIFS(Detail!$I:$I,Detail!$K:$K,G$1,Detail!$Q:$Q,$A23)</f>
        <v>10659000</v>
      </c>
      <c r="H23" s="113">
        <f>SUMIFS(Detail!$I:$I,Detail!$K:$K,H$1,Detail!$Q:$Q,$A23)</f>
        <v>0</v>
      </c>
      <c r="I23" s="113">
        <f>SUMIFS(Detail!$I:$I,Detail!$K:$K,I$1,Detail!$Q:$Q,$A23)</f>
        <v>0</v>
      </c>
      <c r="J23" s="113">
        <f>SUMIFS(Detail!$I:$I,Detail!$K:$K,J$1,Detail!$Q:$Q,$A23)</f>
        <v>0</v>
      </c>
      <c r="K23" s="113">
        <f>SUMIFS(Detail!$I:$I,Detail!$K:$K,K$1,Detail!$Q:$Q,$A23)</f>
        <v>0</v>
      </c>
      <c r="L23" s="113">
        <f>SUMIFS(Detail!$I:$I,Detail!$K:$K,L$1,Detail!$Q:$Q,$A23)</f>
        <v>0</v>
      </c>
      <c r="M23" s="113">
        <f>SUMIFS(Detail!$I:$I,Detail!$K:$K,M$1,Detail!$Q:$Q,$A23)</f>
        <v>0</v>
      </c>
      <c r="N23" s="113"/>
    </row>
    <row r="24" spans="1:14" ht="55.15" customHeight="1" x14ac:dyDescent="0.25">
      <c r="A24" s="83" t="s">
        <v>70</v>
      </c>
      <c r="B24" s="93">
        <f t="shared" si="0"/>
        <v>5581000</v>
      </c>
      <c r="C24" s="113">
        <f>SUMIFS(Detail!$I:$I,Detail!$K:$K,C$1,Detail!$Q:$Q,$A24)</f>
        <v>0</v>
      </c>
      <c r="D24" s="113">
        <f>SUMIFS(Detail!$I:$I,Detail!$K:$K,D$1,Detail!$Q:$Q,$A24)</f>
        <v>0</v>
      </c>
      <c r="E24" s="113">
        <f>SUMIFS(Detail!$I:$I,Detail!$K:$K,E$1,Detail!$Q:$Q,$A24)</f>
        <v>0</v>
      </c>
      <c r="F24" s="113">
        <f>SUMIFS(Detail!$I:$I,Detail!$K:$K,F$1,Detail!$Q:$Q,$A24)</f>
        <v>5581000</v>
      </c>
      <c r="G24" s="113">
        <f>SUMIFS(Detail!$I:$I,Detail!$K:$K,G$1,Detail!$Q:$Q,$A24)</f>
        <v>0</v>
      </c>
      <c r="H24" s="113">
        <f>SUMIFS(Detail!$I:$I,Detail!$K:$K,H$1,Detail!$Q:$Q,$A24)</f>
        <v>0</v>
      </c>
      <c r="I24" s="113">
        <f>SUMIFS(Detail!$I:$I,Detail!$K:$K,I$1,Detail!$Q:$Q,$A24)</f>
        <v>0</v>
      </c>
      <c r="J24" s="113">
        <f>SUMIFS(Detail!$I:$I,Detail!$K:$K,J$1,Detail!$Q:$Q,$A24)</f>
        <v>0</v>
      </c>
      <c r="K24" s="113">
        <f>SUMIFS(Detail!$I:$I,Detail!$K:$K,K$1,Detail!$Q:$Q,$A24)</f>
        <v>0</v>
      </c>
      <c r="L24" s="113">
        <f>SUMIFS(Detail!$I:$I,Detail!$K:$K,L$1,Detail!$Q:$Q,$A24)</f>
        <v>0</v>
      </c>
      <c r="M24" s="113">
        <f>SUMIFS(Detail!$I:$I,Detail!$K:$K,M$1,Detail!$Q:$Q,$A24)</f>
        <v>0</v>
      </c>
      <c r="N24" s="113"/>
    </row>
    <row r="25" spans="1:14" ht="55.15" customHeight="1" x14ac:dyDescent="0.25">
      <c r="A25" s="83" t="s">
        <v>72</v>
      </c>
      <c r="B25" s="93">
        <f t="shared" si="0"/>
        <v>21110000</v>
      </c>
      <c r="C25" s="113">
        <f>SUMIFS(Detail!$I:$I,Detail!$K:$K,C$1,Detail!$Q:$Q,$A25)</f>
        <v>0</v>
      </c>
      <c r="D25" s="113">
        <f>SUMIFS(Detail!$I:$I,Detail!$K:$K,D$1,Detail!$Q:$Q,$A25)</f>
        <v>0</v>
      </c>
      <c r="E25" s="113">
        <f>SUMIFS(Detail!$I:$I,Detail!$K:$K,E$1,Detail!$Q:$Q,$A25)</f>
        <v>12760000</v>
      </c>
      <c r="F25" s="113">
        <f>SUMIFS(Detail!$I:$I,Detail!$K:$K,F$1,Detail!$Q:$Q,$A25)</f>
        <v>0</v>
      </c>
      <c r="G25" s="113">
        <f>SUMIFS(Detail!$I:$I,Detail!$K:$K,G$1,Detail!$Q:$Q,$A25)</f>
        <v>0</v>
      </c>
      <c r="H25" s="113">
        <f>SUMIFS(Detail!$I:$I,Detail!$K:$K,H$1,Detail!$Q:$Q,$A25)</f>
        <v>3850000</v>
      </c>
      <c r="I25" s="113">
        <f>SUMIFS(Detail!$I:$I,Detail!$K:$K,I$1,Detail!$Q:$Q,$A25)</f>
        <v>4500000</v>
      </c>
      <c r="J25" s="113">
        <f>SUMIFS(Detail!$I:$I,Detail!$K:$K,J$1,Detail!$Q:$Q,$A25)</f>
        <v>0</v>
      </c>
      <c r="K25" s="113">
        <f>SUMIFS(Detail!$I:$I,Detail!$K:$K,K$1,Detail!$Q:$Q,$A25)</f>
        <v>0</v>
      </c>
      <c r="L25" s="113">
        <f>SUMIFS(Detail!$I:$I,Detail!$K:$K,L$1,Detail!$Q:$Q,$A25)</f>
        <v>0</v>
      </c>
      <c r="M25" s="113">
        <f>SUMIFS(Detail!$I:$I,Detail!$K:$K,M$1,Detail!$Q:$Q,$A25)</f>
        <v>0</v>
      </c>
      <c r="N25" s="113"/>
    </row>
    <row r="26" spans="1:14" ht="55.15" customHeight="1" x14ac:dyDescent="0.25">
      <c r="A26" s="80" t="s">
        <v>74</v>
      </c>
      <c r="B26" s="93">
        <f t="shared" si="0"/>
        <v>0</v>
      </c>
      <c r="C26" s="113">
        <f>SUMIFS(Detail!$I:$I,Detail!$K:$K,C$1,Detail!$Q:$Q,$A26)</f>
        <v>0</v>
      </c>
      <c r="D26" s="113">
        <f>SUMIFS(Detail!$I:$I,Detail!$K:$K,D$1,Detail!$Q:$Q,$A26)</f>
        <v>0</v>
      </c>
      <c r="E26" s="113">
        <f>SUMIFS(Detail!$I:$I,Detail!$K:$K,E$1,Detail!$Q:$Q,$A26)</f>
        <v>0</v>
      </c>
      <c r="F26" s="113">
        <f>SUMIFS(Detail!$I:$I,Detail!$K:$K,F$1,Detail!$Q:$Q,$A26)</f>
        <v>0</v>
      </c>
      <c r="G26" s="113">
        <f>SUMIFS(Detail!$I:$I,Detail!$K:$K,G$1,Detail!$Q:$Q,$A26)</f>
        <v>0</v>
      </c>
      <c r="H26" s="113">
        <f>SUMIFS(Detail!$I:$I,Detail!$K:$K,H$1,Detail!$Q:$Q,$A26)</f>
        <v>0</v>
      </c>
      <c r="I26" s="113">
        <f>SUMIFS(Detail!$I:$I,Detail!$K:$K,I$1,Detail!$Q:$Q,$A26)</f>
        <v>0</v>
      </c>
      <c r="J26" s="113">
        <f>SUMIFS(Detail!$I:$I,Detail!$K:$K,J$1,Detail!$Q:$Q,$A26)</f>
        <v>0</v>
      </c>
      <c r="K26" s="113">
        <f>SUMIFS(Detail!$I:$I,Detail!$K:$K,K$1,Detail!$Q:$Q,$A26)</f>
        <v>0</v>
      </c>
      <c r="L26" s="113">
        <f>SUMIFS(Detail!$I:$I,Detail!$K:$K,L$1,Detail!$Q:$Q,$A26)</f>
        <v>0</v>
      </c>
      <c r="M26" s="113">
        <f>SUMIFS(Detail!$I:$I,Detail!$K:$K,M$1,Detail!$Q:$Q,$A26)</f>
        <v>0</v>
      </c>
      <c r="N26" s="113"/>
    </row>
    <row r="27" spans="1:14" ht="55.15" customHeight="1" x14ac:dyDescent="0.25">
      <c r="A27" s="92" t="s">
        <v>75</v>
      </c>
      <c r="B27" s="93">
        <f>SUM(B28:B39)</f>
        <v>0</v>
      </c>
      <c r="C27" s="113">
        <f>SUMIFS(Detail!$I:$I,Detail!$K:$K,C$1,Detail!$Q:$Q,$A27)</f>
        <v>0</v>
      </c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</row>
    <row r="28" spans="1:14" ht="55.15" customHeight="1" x14ac:dyDescent="0.25">
      <c r="A28" s="78" t="s">
        <v>76</v>
      </c>
      <c r="B28" s="93">
        <f t="shared" si="0"/>
        <v>0</v>
      </c>
      <c r="C28" s="113">
        <f>SUMIFS(Detail!$I:$I,Detail!$K:$K,C$1,Detail!$Q:$Q,$A28)</f>
        <v>0</v>
      </c>
      <c r="D28" s="113">
        <f>SUMIFS(Detail!$I:$I,Detail!$K:$K,D$1,Detail!$Q:$Q,$A28)</f>
        <v>0</v>
      </c>
      <c r="E28" s="113">
        <f>SUMIFS(Detail!$I:$I,Detail!$K:$K,E$1,Detail!$Q:$Q,$A28)</f>
        <v>0</v>
      </c>
      <c r="F28" s="113">
        <f>SUMIFS(Detail!$I:$I,Detail!$K:$K,F$1,Detail!$Q:$Q,$A28)</f>
        <v>0</v>
      </c>
      <c r="G28" s="113">
        <f>SUMIFS(Detail!$I:$I,Detail!$K:$K,G$1,Detail!$Q:$Q,$A28)</f>
        <v>0</v>
      </c>
      <c r="H28" s="113">
        <f>SUMIFS(Detail!$I:$I,Detail!$K:$K,H$1,Detail!$Q:$Q,$A28)</f>
        <v>0</v>
      </c>
      <c r="I28" s="113">
        <f>SUMIFS(Detail!$I:$I,Detail!$K:$K,I$1,Detail!$Q:$Q,$A28)</f>
        <v>0</v>
      </c>
      <c r="J28" s="113">
        <f>SUMIFS(Detail!$I:$I,Detail!$K:$K,J$1,Detail!$Q:$Q,$A28)</f>
        <v>0</v>
      </c>
      <c r="K28" s="113">
        <f>SUMIFS(Detail!$I:$I,Detail!$K:$K,K$1,Detail!$Q:$Q,$A28)</f>
        <v>0</v>
      </c>
      <c r="L28" s="113">
        <f>SUMIFS(Detail!$I:$I,Detail!$K:$K,L$1,Detail!$Q:$Q,$A28)</f>
        <v>0</v>
      </c>
      <c r="M28" s="113">
        <f>SUMIFS(Detail!$I:$I,Detail!$K:$K,M$1,Detail!$Q:$Q,$A28)</f>
        <v>0</v>
      </c>
      <c r="N28" s="113"/>
    </row>
    <row r="29" spans="1:14" ht="55.15" customHeight="1" x14ac:dyDescent="0.25">
      <c r="A29" s="78" t="s">
        <v>79</v>
      </c>
      <c r="B29" s="93">
        <f t="shared" si="0"/>
        <v>0</v>
      </c>
      <c r="C29" s="113">
        <f>SUMIFS(Detail!$I:$I,Detail!$K:$K,C$1,Detail!$Q:$Q,$A29)</f>
        <v>0</v>
      </c>
      <c r="D29" s="113">
        <f>SUMIFS(Detail!$I:$I,Detail!$K:$K,D$1,Detail!$Q:$Q,$A29)</f>
        <v>0</v>
      </c>
      <c r="E29" s="113">
        <f>SUMIFS(Detail!$I:$I,Detail!$K:$K,E$1,Detail!$Q:$Q,$A29)</f>
        <v>0</v>
      </c>
      <c r="F29" s="113">
        <f>SUMIFS(Detail!$I:$I,Detail!$K:$K,F$1,Detail!$Q:$Q,$A29)</f>
        <v>0</v>
      </c>
      <c r="G29" s="113">
        <f>SUMIFS(Detail!$I:$I,Detail!$K:$K,G$1,Detail!$Q:$Q,$A29)</f>
        <v>0</v>
      </c>
      <c r="H29" s="113">
        <f>SUMIFS(Detail!$I:$I,Detail!$K:$K,H$1,Detail!$Q:$Q,$A29)</f>
        <v>0</v>
      </c>
      <c r="I29" s="113">
        <f>SUMIFS(Detail!$I:$I,Detail!$K:$K,I$1,Detail!$Q:$Q,$A29)</f>
        <v>0</v>
      </c>
      <c r="J29" s="113">
        <f>SUMIFS(Detail!$I:$I,Detail!$K:$K,J$1,Detail!$Q:$Q,$A29)</f>
        <v>0</v>
      </c>
      <c r="K29" s="113">
        <f>SUMIFS(Detail!$I:$I,Detail!$K:$K,K$1,Detail!$Q:$Q,$A29)</f>
        <v>0</v>
      </c>
      <c r="L29" s="113">
        <f>SUMIFS(Detail!$I:$I,Detail!$K:$K,L$1,Detail!$Q:$Q,$A29)</f>
        <v>0</v>
      </c>
      <c r="M29" s="113">
        <f>SUMIFS(Detail!$I:$I,Detail!$K:$K,M$1,Detail!$Q:$Q,$A29)</f>
        <v>0</v>
      </c>
      <c r="N29" s="113"/>
    </row>
    <row r="30" spans="1:14" ht="55.15" customHeight="1" x14ac:dyDescent="0.25">
      <c r="A30" s="78" t="s">
        <v>82</v>
      </c>
      <c r="B30" s="93">
        <f t="shared" si="0"/>
        <v>0</v>
      </c>
      <c r="C30" s="113">
        <f>SUMIFS(Detail!$I:$I,Detail!$K:$K,C$1,Detail!$Q:$Q,$A30)</f>
        <v>0</v>
      </c>
      <c r="D30" s="113">
        <f>SUMIFS(Detail!$I:$I,Detail!$K:$K,D$1,Detail!$Q:$Q,$A30)</f>
        <v>0</v>
      </c>
      <c r="E30" s="113">
        <f>SUMIFS(Detail!$I:$I,Detail!$K:$K,E$1,Detail!$Q:$Q,$A30)</f>
        <v>0</v>
      </c>
      <c r="F30" s="113">
        <f>SUMIFS(Detail!$I:$I,Detail!$K:$K,F$1,Detail!$Q:$Q,$A30)</f>
        <v>0</v>
      </c>
      <c r="G30" s="113">
        <f>SUMIFS(Detail!$I:$I,Detail!$K:$K,G$1,Detail!$Q:$Q,$A30)</f>
        <v>0</v>
      </c>
      <c r="H30" s="113">
        <f>SUMIFS(Detail!$I:$I,Detail!$K:$K,H$1,Detail!$Q:$Q,$A30)</f>
        <v>0</v>
      </c>
      <c r="I30" s="113">
        <f>SUMIFS(Detail!$I:$I,Detail!$K:$K,I$1,Detail!$Q:$Q,$A30)</f>
        <v>0</v>
      </c>
      <c r="J30" s="113">
        <f>SUMIFS(Detail!$I:$I,Detail!$K:$K,J$1,Detail!$Q:$Q,$A30)</f>
        <v>0</v>
      </c>
      <c r="K30" s="113">
        <f>SUMIFS(Detail!$I:$I,Detail!$K:$K,K$1,Detail!$Q:$Q,$A30)</f>
        <v>0</v>
      </c>
      <c r="L30" s="113">
        <f>SUMIFS(Detail!$I:$I,Detail!$K:$K,L$1,Detail!$Q:$Q,$A30)</f>
        <v>0</v>
      </c>
      <c r="M30" s="113">
        <f>SUMIFS(Detail!$I:$I,Detail!$K:$K,M$1,Detail!$Q:$Q,$A30)</f>
        <v>0</v>
      </c>
      <c r="N30" s="113"/>
    </row>
    <row r="31" spans="1:14" ht="55.15" customHeight="1" x14ac:dyDescent="0.25">
      <c r="A31" s="78" t="s">
        <v>84</v>
      </c>
      <c r="B31" s="93">
        <f t="shared" si="0"/>
        <v>0</v>
      </c>
      <c r="C31" s="113">
        <f>SUMIFS(Detail!$I:$I,Detail!$K:$K,C$1,Detail!$Q:$Q,$A31)</f>
        <v>0</v>
      </c>
      <c r="D31" s="113">
        <f>SUMIFS(Detail!$I:$I,Detail!$K:$K,D$1,Detail!$Q:$Q,$A31)</f>
        <v>0</v>
      </c>
      <c r="E31" s="113">
        <f>SUMIFS(Detail!$I:$I,Detail!$K:$K,E$1,Detail!$Q:$Q,$A31)</f>
        <v>0</v>
      </c>
      <c r="F31" s="113">
        <f>SUMIFS(Detail!$I:$I,Detail!$K:$K,F$1,Detail!$Q:$Q,$A31)</f>
        <v>0</v>
      </c>
      <c r="G31" s="113">
        <f>SUMIFS(Detail!$I:$I,Detail!$K:$K,G$1,Detail!$Q:$Q,$A31)</f>
        <v>0</v>
      </c>
      <c r="H31" s="113">
        <f>SUMIFS(Detail!$I:$I,Detail!$K:$K,H$1,Detail!$Q:$Q,$A31)</f>
        <v>0</v>
      </c>
      <c r="I31" s="113">
        <f>SUMIFS(Detail!$I:$I,Detail!$K:$K,I$1,Detail!$Q:$Q,$A31)</f>
        <v>0</v>
      </c>
      <c r="J31" s="113">
        <f>SUMIFS(Detail!$I:$I,Detail!$K:$K,J$1,Detail!$Q:$Q,$A31)</f>
        <v>0</v>
      </c>
      <c r="K31" s="113">
        <f>SUMIFS(Detail!$I:$I,Detail!$K:$K,K$1,Detail!$Q:$Q,$A31)</f>
        <v>0</v>
      </c>
      <c r="L31" s="113">
        <f>SUMIFS(Detail!$I:$I,Detail!$K:$K,L$1,Detail!$Q:$Q,$A31)</f>
        <v>0</v>
      </c>
      <c r="M31" s="113">
        <f>SUMIFS(Detail!$I:$I,Detail!$K:$K,M$1,Detail!$Q:$Q,$A31)</f>
        <v>0</v>
      </c>
      <c r="N31" s="113"/>
    </row>
    <row r="32" spans="1:14" ht="55.15" customHeight="1" x14ac:dyDescent="0.25">
      <c r="A32" s="94" t="s">
        <v>86</v>
      </c>
      <c r="B32" s="93">
        <f t="shared" si="0"/>
        <v>0</v>
      </c>
      <c r="C32" s="113">
        <f>SUMIFS(Detail!$I:$I,Detail!$K:$K,C$1,Detail!$Q:$Q,$A32)</f>
        <v>0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</row>
    <row r="33" spans="1:14" ht="55.15" customHeight="1" x14ac:dyDescent="0.25">
      <c r="A33" s="79" t="s">
        <v>87</v>
      </c>
      <c r="B33" s="93"/>
      <c r="C33" s="113">
        <f>SUMIFS(Detail!$I:$I,Detail!$K:$K,C$1,Detail!$Q:$Q,$A33)</f>
        <v>0</v>
      </c>
      <c r="D33" s="113">
        <f>SUMIFS(Detail!$I:$I,Detail!$K:$K,D$1,Detail!$Q:$Q,$A33)</f>
        <v>0</v>
      </c>
      <c r="E33" s="113">
        <f>SUMIFS(Detail!$I:$I,Detail!$K:$K,E$1,Detail!$Q:$Q,$A33)</f>
        <v>0</v>
      </c>
      <c r="F33" s="113">
        <f>SUMIFS(Detail!$I:$I,Detail!$K:$K,F$1,Detail!$Q:$Q,$A33)</f>
        <v>0</v>
      </c>
      <c r="G33" s="113">
        <f>SUMIFS(Detail!$I:$I,Detail!$K:$K,G$1,Detail!$Q:$Q,$A33)</f>
        <v>0</v>
      </c>
      <c r="H33" s="113">
        <f>SUMIFS(Detail!$I:$I,Detail!$K:$K,H$1,Detail!$Q:$Q,$A33)</f>
        <v>0</v>
      </c>
      <c r="I33" s="113">
        <f>SUMIFS(Detail!$I:$I,Detail!$K:$K,I$1,Detail!$Q:$Q,$A33)</f>
        <v>0</v>
      </c>
      <c r="J33" s="113">
        <f>SUMIFS(Detail!$I:$I,Detail!$K:$K,J$1,Detail!$Q:$Q,$A33)</f>
        <v>0</v>
      </c>
      <c r="K33" s="113">
        <f>SUMIFS(Detail!$I:$I,Detail!$K:$K,K$1,Detail!$Q:$Q,$A33)</f>
        <v>0</v>
      </c>
      <c r="L33" s="113">
        <f>SUMIFS(Detail!$I:$I,Detail!$K:$K,L$1,Detail!$Q:$Q,$A33)</f>
        <v>0</v>
      </c>
      <c r="M33" s="113">
        <f>SUMIFS(Detail!$I:$I,Detail!$K:$K,M$1,Detail!$Q:$Q,$A33)</f>
        <v>0</v>
      </c>
      <c r="N33" s="113"/>
    </row>
    <row r="34" spans="1:14" ht="55.15" customHeight="1" x14ac:dyDescent="0.25">
      <c r="A34" s="79" t="s">
        <v>89</v>
      </c>
      <c r="B34" s="93">
        <f t="shared" si="0"/>
        <v>0</v>
      </c>
      <c r="C34" s="113">
        <f>SUMIFS(Detail!$I:$I,Detail!$K:$K,C$1,Detail!$Q:$Q,$A34)</f>
        <v>0</v>
      </c>
      <c r="D34" s="113">
        <f>SUMIFS(Detail!$I:$I,Detail!$K:$K,D$1,Detail!$Q:$Q,$A34)</f>
        <v>0</v>
      </c>
      <c r="E34" s="113">
        <f>SUMIFS(Detail!$I:$I,Detail!$K:$K,E$1,Detail!$Q:$Q,$A34)</f>
        <v>0</v>
      </c>
      <c r="F34" s="113">
        <f>SUMIFS(Detail!$I:$I,Detail!$K:$K,F$1,Detail!$Q:$Q,$A34)</f>
        <v>0</v>
      </c>
      <c r="G34" s="113">
        <f>SUMIFS(Detail!$I:$I,Detail!$K:$K,G$1,Detail!$Q:$Q,$A34)</f>
        <v>0</v>
      </c>
      <c r="H34" s="113">
        <f>SUMIFS(Detail!$I:$I,Detail!$K:$K,H$1,Detail!$Q:$Q,$A34)</f>
        <v>0</v>
      </c>
      <c r="I34" s="113">
        <f>SUMIFS(Detail!$I:$I,Detail!$K:$K,I$1,Detail!$Q:$Q,$A34)</f>
        <v>0</v>
      </c>
      <c r="J34" s="113">
        <f>SUMIFS(Detail!$I:$I,Detail!$K:$K,J$1,Detail!$Q:$Q,$A34)</f>
        <v>0</v>
      </c>
      <c r="K34" s="113">
        <f>SUMIFS(Detail!$I:$I,Detail!$K:$K,K$1,Detail!$Q:$Q,$A34)</f>
        <v>0</v>
      </c>
      <c r="L34" s="113">
        <f>SUMIFS(Detail!$I:$I,Detail!$K:$K,L$1,Detail!$Q:$Q,$A34)</f>
        <v>0</v>
      </c>
      <c r="M34" s="113">
        <f>SUMIFS(Detail!$I:$I,Detail!$K:$K,M$1,Detail!$Q:$Q,$A34)</f>
        <v>0</v>
      </c>
      <c r="N34" s="113"/>
    </row>
    <row r="35" spans="1:14" x14ac:dyDescent="0.25">
      <c r="A35" s="82" t="s">
        <v>90</v>
      </c>
      <c r="B35" s="93">
        <f t="shared" si="0"/>
        <v>0</v>
      </c>
      <c r="C35" s="113">
        <f>SUMIFS(Detail!$I:$I,Detail!$K:$K,C$1,Detail!$Q:$Q,$A35)</f>
        <v>0</v>
      </c>
      <c r="D35" s="113">
        <f>SUMIFS(Detail!$I:$I,Detail!$K:$K,D$1,Detail!$Q:$Q,$A35)</f>
        <v>0</v>
      </c>
      <c r="E35" s="113">
        <f>SUMIFS(Detail!$I:$I,Detail!$K:$K,E$1,Detail!$Q:$Q,$A35)</f>
        <v>0</v>
      </c>
      <c r="F35" s="113">
        <f>SUMIFS(Detail!$I:$I,Detail!$K:$K,F$1,Detail!$Q:$Q,$A35)</f>
        <v>0</v>
      </c>
      <c r="G35" s="113">
        <f>SUMIFS(Detail!$I:$I,Detail!$K:$K,G$1,Detail!$Q:$Q,$A35)</f>
        <v>0</v>
      </c>
      <c r="H35" s="113">
        <f>SUMIFS(Detail!$I:$I,Detail!$K:$K,H$1,Detail!$Q:$Q,$A35)</f>
        <v>0</v>
      </c>
      <c r="I35" s="113">
        <f>SUMIFS(Detail!$I:$I,Detail!$K:$K,I$1,Detail!$Q:$Q,$A35)</f>
        <v>0</v>
      </c>
      <c r="J35" s="113">
        <f>SUMIFS(Detail!$I:$I,Detail!$K:$K,J$1,Detail!$Q:$Q,$A35)</f>
        <v>0</v>
      </c>
      <c r="K35" s="113">
        <f>SUMIFS(Detail!$I:$I,Detail!$K:$K,K$1,Detail!$Q:$Q,$A35)</f>
        <v>0</v>
      </c>
      <c r="L35" s="113">
        <f>SUMIFS(Detail!$I:$I,Detail!$K:$K,L$1,Detail!$Q:$Q,$A35)</f>
        <v>0</v>
      </c>
      <c r="M35" s="113">
        <f>SUMIFS(Detail!$I:$I,Detail!$K:$K,M$1,Detail!$Q:$Q,$A35)</f>
        <v>0</v>
      </c>
      <c r="N35" s="113"/>
    </row>
    <row r="36" spans="1:14" x14ac:dyDescent="0.25">
      <c r="A36" s="84" t="s">
        <v>91</v>
      </c>
      <c r="B36" s="93">
        <f t="shared" si="0"/>
        <v>0</v>
      </c>
      <c r="C36" s="113">
        <f>SUMIFS(Detail!$I:$I,Detail!$K:$K,C$1,Detail!$Q:$Q,$A36)</f>
        <v>0</v>
      </c>
      <c r="D36" s="113">
        <f>SUMIFS(Detail!$I:$I,Detail!$K:$K,D$1,Detail!$Q:$Q,$A36)</f>
        <v>0</v>
      </c>
      <c r="E36" s="113">
        <f>SUMIFS(Detail!$I:$I,Detail!$K:$K,E$1,Detail!$Q:$Q,$A36)</f>
        <v>0</v>
      </c>
      <c r="F36" s="113">
        <f>SUMIFS(Detail!$I:$I,Detail!$K:$K,F$1,Detail!$Q:$Q,$A36)</f>
        <v>0</v>
      </c>
      <c r="G36" s="113">
        <f>SUMIFS(Detail!$I:$I,Detail!$K:$K,G$1,Detail!$Q:$Q,$A36)</f>
        <v>0</v>
      </c>
      <c r="H36" s="113">
        <f>SUMIFS(Detail!$I:$I,Detail!$K:$K,H$1,Detail!$Q:$Q,$A36)</f>
        <v>0</v>
      </c>
      <c r="I36" s="113">
        <f>SUMIFS(Detail!$I:$I,Detail!$K:$K,I$1,Detail!$Q:$Q,$A36)</f>
        <v>0</v>
      </c>
      <c r="J36" s="113">
        <f>SUMIFS(Detail!$I:$I,Detail!$K:$K,J$1,Detail!$Q:$Q,$A36)</f>
        <v>0</v>
      </c>
      <c r="K36" s="113">
        <f>SUMIFS(Detail!$I:$I,Detail!$K:$K,K$1,Detail!$Q:$Q,$A36)</f>
        <v>0</v>
      </c>
      <c r="L36" s="113">
        <f>SUMIFS(Detail!$I:$I,Detail!$K:$K,L$1,Detail!$Q:$Q,$A36)</f>
        <v>0</v>
      </c>
      <c r="M36" s="113">
        <f>SUMIFS(Detail!$I:$I,Detail!$K:$K,M$1,Detail!$Q:$Q,$A36)</f>
        <v>0</v>
      </c>
      <c r="N36" s="113"/>
    </row>
    <row r="37" spans="1:14" x14ac:dyDescent="0.25">
      <c r="A37" s="84" t="s">
        <v>95</v>
      </c>
      <c r="B37" s="93">
        <f t="shared" si="0"/>
        <v>0</v>
      </c>
      <c r="C37" s="113">
        <f>SUMIFS(Detail!$I:$I,Detail!$K:$K,C$1,Detail!$Q:$Q,$A37)</f>
        <v>0</v>
      </c>
      <c r="D37" s="113">
        <f>SUMIFS(Detail!$I:$I,Detail!$K:$K,D$1,Detail!$Q:$Q,$A37)</f>
        <v>0</v>
      </c>
      <c r="E37" s="113">
        <f>SUMIFS(Detail!$I:$I,Detail!$K:$K,E$1,Detail!$Q:$Q,$A37)</f>
        <v>0</v>
      </c>
      <c r="F37" s="113">
        <f>SUMIFS(Detail!$I:$I,Detail!$K:$K,F$1,Detail!$Q:$Q,$A37)</f>
        <v>0</v>
      </c>
      <c r="G37" s="113">
        <f>SUMIFS(Detail!$I:$I,Detail!$K:$K,G$1,Detail!$Q:$Q,$A37)</f>
        <v>0</v>
      </c>
      <c r="H37" s="113">
        <f>SUMIFS(Detail!$I:$I,Detail!$K:$K,H$1,Detail!$Q:$Q,$A37)</f>
        <v>0</v>
      </c>
      <c r="I37" s="113">
        <f>SUMIFS(Detail!$I:$I,Detail!$K:$K,I$1,Detail!$Q:$Q,$A37)</f>
        <v>0</v>
      </c>
      <c r="J37" s="113">
        <f>SUMIFS(Detail!$I:$I,Detail!$K:$K,J$1,Detail!$Q:$Q,$A37)</f>
        <v>0</v>
      </c>
      <c r="K37" s="113">
        <f>SUMIFS(Detail!$I:$I,Detail!$K:$K,K$1,Detail!$Q:$Q,$A37)</f>
        <v>0</v>
      </c>
      <c r="L37" s="113">
        <f>SUMIFS(Detail!$I:$I,Detail!$K:$K,L$1,Detail!$Q:$Q,$A37)</f>
        <v>0</v>
      </c>
      <c r="M37" s="113">
        <f>SUMIFS(Detail!$I:$I,Detail!$K:$K,M$1,Detail!$Q:$Q,$A37)</f>
        <v>0</v>
      </c>
      <c r="N37" s="113"/>
    </row>
    <row r="38" spans="1:14" x14ac:dyDescent="0.25">
      <c r="A38" s="84" t="s">
        <v>97</v>
      </c>
    </row>
  </sheetData>
  <conditionalFormatting sqref="A2 A11">
    <cfRule type="containsText" dxfId="9" priority="13" operator="containsText" text="Software license/Bản quyền phần mềm">
      <formula>NOT(ISERROR(SEARCH("Software license/Bản quyền phần mềm",A2)))</formula>
    </cfRule>
  </conditionalFormatting>
  <conditionalFormatting sqref="A32">
    <cfRule type="containsText" dxfId="8" priority="12" operator="containsText" text="Software license/Bản quyền phần mềm">
      <formula>NOT(ISERROR(SEARCH("Software license/Bản quyền phần mềm",A32)))</formula>
    </cfRule>
  </conditionalFormatting>
  <conditionalFormatting sqref="A27">
    <cfRule type="containsText" dxfId="7" priority="10" operator="containsText" text="Software license/Bản quyền phần mềm">
      <formula>NOT(ISERROR(SEARCH("Software license/Bản quyền phần mềm",A27)))</formula>
    </cfRule>
  </conditionalFormatting>
  <conditionalFormatting sqref="A10">
    <cfRule type="containsText" dxfId="6" priority="4" operator="containsText" text="Software license/Bản quyền phần mềm">
      <formula>NOT(ISERROR(SEARCH("Software license/Bản quyền phần mềm",A10)))</formula>
    </cfRule>
  </conditionalFormatting>
  <conditionalFormatting sqref="A26">
    <cfRule type="containsText" dxfId="5" priority="1" operator="containsText" text="Software license/Bản quyền phần mềm">
      <formula>NOT(ISERROR(SEARCH("Software license/Bản quyền phần mềm",A26)))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CAF-CDE3-4205-AACB-2856A80FBEE0}">
  <dimension ref="A1:AE308"/>
  <sheetViews>
    <sheetView tabSelected="1" zoomScale="85" zoomScaleNormal="85" workbookViewId="0">
      <pane ySplit="1" topLeftCell="A298" activePane="bottomLeft" state="frozen"/>
      <selection activeCell="F1" sqref="F1"/>
      <selection pane="bottomLeft" activeCell="P311" sqref="P311"/>
    </sheetView>
  </sheetViews>
  <sheetFormatPr defaultColWidth="9.140625" defaultRowHeight="12.75" x14ac:dyDescent="0.25"/>
  <cols>
    <col min="1" max="1" width="13.28515625" style="99" customWidth="1"/>
    <col min="2" max="2" width="22.140625" style="99" customWidth="1"/>
    <col min="3" max="3" width="17.7109375" style="99" customWidth="1"/>
    <col min="4" max="4" width="18.140625" style="99" customWidth="1"/>
    <col min="5" max="5" width="18.28515625" style="99" customWidth="1"/>
    <col min="6" max="6" width="27.28515625" style="99" customWidth="1"/>
    <col min="7" max="7" width="16.140625" style="99" bestFit="1" customWidth="1"/>
    <col min="8" max="8" width="17.85546875" style="99" customWidth="1"/>
    <col min="9" max="9" width="21.42578125" style="100" customWidth="1"/>
    <col min="10" max="10" width="15.85546875" style="108" bestFit="1" customWidth="1"/>
    <col min="11" max="11" width="10.140625" style="106" customWidth="1"/>
    <col min="12" max="12" width="9.85546875" style="99" customWidth="1"/>
    <col min="13" max="13" width="19.7109375" style="99" customWidth="1"/>
    <col min="14" max="14" width="17.5703125" style="99" customWidth="1"/>
    <col min="15" max="15" width="16.7109375" style="99" customWidth="1"/>
    <col min="16" max="16" width="48.28515625" style="101" customWidth="1"/>
    <col min="17" max="17" width="42.28515625" style="101" customWidth="1"/>
    <col min="18" max="16384" width="9.140625" style="99"/>
  </cols>
  <sheetData>
    <row r="1" spans="1:17" ht="87" customHeight="1" x14ac:dyDescent="0.25">
      <c r="A1" s="95" t="s">
        <v>100</v>
      </c>
      <c r="B1" s="95" t="s">
        <v>101</v>
      </c>
      <c r="C1" s="95" t="s">
        <v>102</v>
      </c>
      <c r="D1" s="95" t="s">
        <v>103</v>
      </c>
      <c r="E1" s="95" t="s">
        <v>104</v>
      </c>
      <c r="F1" s="95" t="s">
        <v>105</v>
      </c>
      <c r="G1" s="95" t="s">
        <v>106</v>
      </c>
      <c r="H1" s="95" t="s">
        <v>107</v>
      </c>
      <c r="I1" s="96" t="s">
        <v>9</v>
      </c>
      <c r="J1" s="124" t="s">
        <v>108</v>
      </c>
      <c r="K1" s="97" t="s">
        <v>109</v>
      </c>
      <c r="L1" s="95" t="s">
        <v>110</v>
      </c>
      <c r="M1" s="95" t="s">
        <v>111</v>
      </c>
      <c r="N1" s="95" t="s">
        <v>112</v>
      </c>
      <c r="O1" s="95" t="s">
        <v>113</v>
      </c>
      <c r="P1" s="98" t="s">
        <v>114</v>
      </c>
      <c r="Q1" s="98" t="s">
        <v>115</v>
      </c>
    </row>
    <row r="2" spans="1:17" s="102" customFormat="1" ht="49.9" customHeight="1" x14ac:dyDescent="0.25">
      <c r="B2" s="102" t="s">
        <v>116</v>
      </c>
      <c r="C2" s="102" t="s">
        <v>117</v>
      </c>
      <c r="E2" s="102" t="s">
        <v>118</v>
      </c>
      <c r="F2" s="102" t="s">
        <v>119</v>
      </c>
      <c r="G2" s="102" t="s">
        <v>120</v>
      </c>
      <c r="H2" s="102">
        <v>1</v>
      </c>
      <c r="I2" s="112">
        <v>396000</v>
      </c>
      <c r="J2" s="103">
        <v>44475</v>
      </c>
      <c r="K2" s="104">
        <f>MONTH(J2)</f>
        <v>10</v>
      </c>
      <c r="L2" s="102" t="s">
        <v>121</v>
      </c>
      <c r="M2" s="105">
        <f>(J2+HLOOKUP(L2,Waranty!$A$1:$H$2,2,TRUE))</f>
        <v>44505</v>
      </c>
      <c r="N2" s="102" t="s">
        <v>122</v>
      </c>
      <c r="O2" s="102" t="s">
        <v>123</v>
      </c>
      <c r="P2" s="141" t="s">
        <v>124</v>
      </c>
      <c r="Q2" s="142" t="s">
        <v>125</v>
      </c>
    </row>
    <row r="3" spans="1:17" s="102" customFormat="1" ht="49.9" customHeight="1" x14ac:dyDescent="0.25">
      <c r="A3" s="143"/>
      <c r="B3" s="102" t="s">
        <v>126</v>
      </c>
      <c r="C3" s="102" t="s">
        <v>117</v>
      </c>
      <c r="F3" s="102" t="s">
        <v>127</v>
      </c>
      <c r="G3" s="102" t="s">
        <v>128</v>
      </c>
      <c r="H3" s="102">
        <v>1</v>
      </c>
      <c r="I3" s="112">
        <v>924000</v>
      </c>
      <c r="J3" s="103">
        <v>44475</v>
      </c>
      <c r="K3" s="104">
        <f t="shared" ref="K3:K64" si="0">MONTH(J3)</f>
        <v>10</v>
      </c>
      <c r="L3" s="102" t="s">
        <v>121</v>
      </c>
      <c r="M3" s="105">
        <f>(J3+HLOOKUP(L3,Waranty!$A$1:$H$2,2,TRUE))</f>
        <v>44505</v>
      </c>
      <c r="N3" s="102" t="s">
        <v>122</v>
      </c>
      <c r="O3" s="102" t="s">
        <v>123</v>
      </c>
      <c r="P3" s="141" t="s">
        <v>124</v>
      </c>
      <c r="Q3" s="142" t="s">
        <v>125</v>
      </c>
    </row>
    <row r="4" spans="1:17" s="102" customFormat="1" ht="49.9" customHeight="1" x14ac:dyDescent="0.25">
      <c r="A4" s="143"/>
      <c r="B4" s="102" t="s">
        <v>116</v>
      </c>
      <c r="C4" s="102" t="s">
        <v>129</v>
      </c>
      <c r="E4" s="102" t="s">
        <v>118</v>
      </c>
      <c r="F4" s="102" t="s">
        <v>130</v>
      </c>
      <c r="G4" s="102" t="s">
        <v>128</v>
      </c>
      <c r="H4" s="102">
        <v>1</v>
      </c>
      <c r="I4" s="112">
        <v>440000</v>
      </c>
      <c r="J4" s="103">
        <v>44475</v>
      </c>
      <c r="K4" s="104">
        <f t="shared" si="0"/>
        <v>10</v>
      </c>
      <c r="L4" s="102" t="s">
        <v>121</v>
      </c>
      <c r="M4" s="105">
        <f>(J4+HLOOKUP(L4,Waranty!$A$1:$H$2,2,TRUE))</f>
        <v>44505</v>
      </c>
      <c r="N4" s="102" t="s">
        <v>122</v>
      </c>
      <c r="O4" s="102" t="s">
        <v>123</v>
      </c>
      <c r="P4" s="141" t="s">
        <v>124</v>
      </c>
      <c r="Q4" s="142" t="s">
        <v>125</v>
      </c>
    </row>
    <row r="5" spans="1:17" s="102" customFormat="1" ht="87" customHeight="1" x14ac:dyDescent="0.25">
      <c r="A5" s="143"/>
      <c r="B5" s="102" t="s">
        <v>116</v>
      </c>
      <c r="C5" s="102" t="s">
        <v>131</v>
      </c>
      <c r="E5" s="102" t="s">
        <v>132</v>
      </c>
      <c r="F5" s="102" t="s">
        <v>133</v>
      </c>
      <c r="G5" s="102" t="s">
        <v>134</v>
      </c>
      <c r="H5" s="102">
        <v>1</v>
      </c>
      <c r="I5" s="112">
        <v>704000</v>
      </c>
      <c r="J5" s="125">
        <v>44475</v>
      </c>
      <c r="K5" s="104">
        <f t="shared" si="0"/>
        <v>10</v>
      </c>
      <c r="L5" s="102" t="s">
        <v>135</v>
      </c>
      <c r="M5" s="105">
        <f>(J5+HLOOKUP(L5,Waranty!$A$1:$H$2,2,TRUE))</f>
        <v>44655</v>
      </c>
      <c r="N5" s="102" t="s">
        <v>122</v>
      </c>
      <c r="O5" s="102" t="s">
        <v>123</v>
      </c>
      <c r="P5" s="141" t="s">
        <v>124</v>
      </c>
      <c r="Q5" s="142" t="s">
        <v>125</v>
      </c>
    </row>
    <row r="6" spans="1:17" s="102" customFormat="1" ht="49.9" customHeight="1" x14ac:dyDescent="0.25">
      <c r="A6" s="143"/>
      <c r="B6" s="102" t="s">
        <v>116</v>
      </c>
      <c r="C6" s="102" t="s">
        <v>131</v>
      </c>
      <c r="E6" s="102" t="s">
        <v>132</v>
      </c>
      <c r="F6" s="102" t="s">
        <v>136</v>
      </c>
      <c r="G6" s="102" t="s">
        <v>137</v>
      </c>
      <c r="H6" s="102">
        <v>1</v>
      </c>
      <c r="I6" s="112">
        <v>704000</v>
      </c>
      <c r="J6" s="103">
        <v>44475</v>
      </c>
      <c r="K6" s="104">
        <f t="shared" si="0"/>
        <v>10</v>
      </c>
      <c r="L6" s="102" t="s">
        <v>135</v>
      </c>
      <c r="M6" s="105">
        <f>(J6+HLOOKUP(L6,Waranty!$A$1:$H$2,2,TRUE))</f>
        <v>44655</v>
      </c>
      <c r="N6" s="102" t="s">
        <v>122</v>
      </c>
      <c r="O6" s="102" t="s">
        <v>123</v>
      </c>
      <c r="P6" s="141" t="s">
        <v>124</v>
      </c>
      <c r="Q6" s="142" t="s">
        <v>125</v>
      </c>
    </row>
    <row r="7" spans="1:17" s="102" customFormat="1" ht="49.9" customHeight="1" x14ac:dyDescent="0.25">
      <c r="B7" s="102" t="s">
        <v>116</v>
      </c>
      <c r="C7" s="102" t="s">
        <v>138</v>
      </c>
      <c r="E7" s="102" t="s">
        <v>118</v>
      </c>
      <c r="F7" s="102" t="s">
        <v>139</v>
      </c>
      <c r="G7" s="102" t="s">
        <v>140</v>
      </c>
      <c r="H7" s="102">
        <v>1</v>
      </c>
      <c r="I7" s="112">
        <v>550000</v>
      </c>
      <c r="J7" s="103">
        <v>44475</v>
      </c>
      <c r="K7" s="104">
        <f t="shared" si="0"/>
        <v>10</v>
      </c>
      <c r="L7" s="102" t="s">
        <v>135</v>
      </c>
      <c r="M7" s="105">
        <f>(J7+HLOOKUP(L7,Waranty!$A$1:$H$2,2,TRUE))</f>
        <v>44655</v>
      </c>
      <c r="N7" s="102" t="s">
        <v>122</v>
      </c>
      <c r="O7" s="102" t="s">
        <v>123</v>
      </c>
      <c r="P7" s="141" t="s">
        <v>124</v>
      </c>
      <c r="Q7" s="142" t="s">
        <v>125</v>
      </c>
    </row>
    <row r="8" spans="1:17" s="102" customFormat="1" ht="49.9" customHeight="1" x14ac:dyDescent="0.25">
      <c r="B8" s="102" t="s">
        <v>116</v>
      </c>
      <c r="C8" s="102" t="s">
        <v>138</v>
      </c>
      <c r="E8" s="102" t="s">
        <v>132</v>
      </c>
      <c r="F8" s="102" t="s">
        <v>141</v>
      </c>
      <c r="G8" s="102" t="s">
        <v>142</v>
      </c>
      <c r="H8" s="102">
        <v>1</v>
      </c>
      <c r="I8" s="112">
        <v>682000</v>
      </c>
      <c r="J8" s="103">
        <v>44477</v>
      </c>
      <c r="K8" s="104">
        <f t="shared" si="0"/>
        <v>10</v>
      </c>
      <c r="L8" s="102" t="s">
        <v>135</v>
      </c>
      <c r="M8" s="105">
        <f>(J8+HLOOKUP(L8,Waranty!$A$1:$H$2,2,TRUE))</f>
        <v>44657</v>
      </c>
      <c r="N8" s="102" t="s">
        <v>122</v>
      </c>
      <c r="O8" s="102" t="s">
        <v>123</v>
      </c>
      <c r="P8" s="141" t="s">
        <v>124</v>
      </c>
      <c r="Q8" s="142" t="s">
        <v>125</v>
      </c>
    </row>
    <row r="9" spans="1:17" s="102" customFormat="1" ht="49.9" customHeight="1" x14ac:dyDescent="0.25">
      <c r="B9" s="102" t="s">
        <v>143</v>
      </c>
      <c r="C9" s="102" t="s">
        <v>138</v>
      </c>
      <c r="F9" s="102" t="s">
        <v>141</v>
      </c>
      <c r="G9" s="102" t="s">
        <v>142</v>
      </c>
      <c r="H9" s="102">
        <v>1</v>
      </c>
      <c r="I9" s="112">
        <v>2365000</v>
      </c>
      <c r="J9" s="103">
        <v>44477</v>
      </c>
      <c r="K9" s="104">
        <f t="shared" si="0"/>
        <v>10</v>
      </c>
      <c r="L9" s="102" t="s">
        <v>135</v>
      </c>
      <c r="M9" s="105">
        <f>(J9+HLOOKUP(L9,Waranty!$A$1:$H$2,2,TRUE))</f>
        <v>44657</v>
      </c>
      <c r="N9" s="102" t="s">
        <v>122</v>
      </c>
      <c r="O9" s="102" t="s">
        <v>123</v>
      </c>
      <c r="P9" s="141" t="s">
        <v>124</v>
      </c>
      <c r="Q9" s="142" t="s">
        <v>125</v>
      </c>
    </row>
    <row r="10" spans="1:17" s="102" customFormat="1" ht="49.9" customHeight="1" x14ac:dyDescent="0.25">
      <c r="B10" s="102" t="s">
        <v>116</v>
      </c>
      <c r="C10" s="102" t="s">
        <v>144</v>
      </c>
      <c r="E10" s="102" t="s">
        <v>118</v>
      </c>
      <c r="F10" s="102" t="s">
        <v>145</v>
      </c>
      <c r="G10" s="102" t="s">
        <v>146</v>
      </c>
      <c r="H10" s="102">
        <v>1</v>
      </c>
      <c r="I10" s="112">
        <v>462000</v>
      </c>
      <c r="J10" s="103">
        <v>44491</v>
      </c>
      <c r="K10" s="104">
        <f t="shared" si="0"/>
        <v>10</v>
      </c>
      <c r="L10" s="102" t="s">
        <v>121</v>
      </c>
      <c r="M10" s="105">
        <f>(J10+HLOOKUP(L10,Waranty!$A$1:$H$2,2,TRUE))</f>
        <v>44521</v>
      </c>
      <c r="N10" s="102" t="s">
        <v>122</v>
      </c>
      <c r="O10" s="102" t="s">
        <v>123</v>
      </c>
      <c r="P10" s="141" t="s">
        <v>124</v>
      </c>
      <c r="Q10" s="142" t="s">
        <v>125</v>
      </c>
    </row>
    <row r="11" spans="1:17" s="102" customFormat="1" ht="49.9" customHeight="1" x14ac:dyDescent="0.25">
      <c r="B11" s="102" t="s">
        <v>147</v>
      </c>
      <c r="C11" s="102" t="s">
        <v>117</v>
      </c>
      <c r="F11" s="102" t="s">
        <v>148</v>
      </c>
      <c r="G11" s="102" t="s">
        <v>149</v>
      </c>
      <c r="H11" s="102">
        <v>1</v>
      </c>
      <c r="I11" s="112">
        <v>583000</v>
      </c>
      <c r="J11" s="103">
        <v>44491</v>
      </c>
      <c r="K11" s="104">
        <f t="shared" si="0"/>
        <v>10</v>
      </c>
      <c r="L11" s="102" t="s">
        <v>121</v>
      </c>
      <c r="M11" s="105">
        <f>(J11+HLOOKUP(L11,Waranty!$A$1:$H$2,2,TRUE))</f>
        <v>44521</v>
      </c>
      <c r="N11" s="102" t="s">
        <v>122</v>
      </c>
      <c r="O11" s="102" t="s">
        <v>123</v>
      </c>
      <c r="P11" s="141" t="s">
        <v>124</v>
      </c>
      <c r="Q11" s="142" t="s">
        <v>125</v>
      </c>
    </row>
    <row r="12" spans="1:17" s="102" customFormat="1" ht="49.9" customHeight="1" x14ac:dyDescent="0.25">
      <c r="B12" s="102" t="s">
        <v>150</v>
      </c>
      <c r="E12" s="102" t="s">
        <v>151</v>
      </c>
      <c r="F12" s="102" t="s">
        <v>152</v>
      </c>
      <c r="G12" s="102" t="s">
        <v>153</v>
      </c>
      <c r="H12" s="102">
        <v>1</v>
      </c>
      <c r="I12" s="112">
        <v>1870000</v>
      </c>
      <c r="J12" s="103">
        <v>44491</v>
      </c>
      <c r="K12" s="104">
        <f t="shared" si="0"/>
        <v>10</v>
      </c>
      <c r="L12" s="102" t="s">
        <v>154</v>
      </c>
      <c r="M12" s="105">
        <f>(J12+HLOOKUP(L12,Waranty!$A$1:$H$2,2,TRUE))</f>
        <v>44581</v>
      </c>
      <c r="N12" s="102" t="s">
        <v>122</v>
      </c>
      <c r="O12" s="102" t="s">
        <v>123</v>
      </c>
      <c r="P12" s="141" t="s">
        <v>124</v>
      </c>
      <c r="Q12" s="142" t="s">
        <v>125</v>
      </c>
    </row>
    <row r="13" spans="1:17" s="102" customFormat="1" ht="49.9" customHeight="1" x14ac:dyDescent="0.25">
      <c r="B13" s="102" t="s">
        <v>143</v>
      </c>
      <c r="C13" s="102" t="s">
        <v>155</v>
      </c>
      <c r="F13" s="102" t="s">
        <v>156</v>
      </c>
      <c r="G13" s="102" t="s">
        <v>140</v>
      </c>
      <c r="H13" s="102">
        <v>1</v>
      </c>
      <c r="I13" s="112">
        <v>2750000</v>
      </c>
      <c r="J13" s="103">
        <v>44494</v>
      </c>
      <c r="K13" s="104">
        <f t="shared" si="0"/>
        <v>10</v>
      </c>
      <c r="L13" s="102" t="s">
        <v>135</v>
      </c>
      <c r="M13" s="105">
        <f>(J13+HLOOKUP(L13,Waranty!$A$1:$H$2,2,TRUE))</f>
        <v>44674</v>
      </c>
      <c r="N13" s="102" t="s">
        <v>122</v>
      </c>
      <c r="O13" s="102" t="s">
        <v>123</v>
      </c>
      <c r="P13" s="141" t="s">
        <v>124</v>
      </c>
      <c r="Q13" s="142" t="s">
        <v>125</v>
      </c>
    </row>
    <row r="14" spans="1:17" s="102" customFormat="1" ht="49.9" customHeight="1" x14ac:dyDescent="0.25">
      <c r="A14" s="143"/>
      <c r="B14" s="102" t="s">
        <v>157</v>
      </c>
      <c r="F14" s="102" t="s">
        <v>158</v>
      </c>
      <c r="G14" s="102" t="s">
        <v>28</v>
      </c>
      <c r="I14" s="112">
        <v>3910000</v>
      </c>
      <c r="J14" s="103">
        <v>44501</v>
      </c>
      <c r="K14" s="104">
        <f t="shared" si="0"/>
        <v>11</v>
      </c>
      <c r="L14" s="102" t="s">
        <v>159</v>
      </c>
      <c r="M14" s="105">
        <f>(J14+HLOOKUP(L14,Waranty!$A$1:$H$2,2,TRUE))</f>
        <v>44531</v>
      </c>
      <c r="N14" s="102" t="s">
        <v>160</v>
      </c>
      <c r="O14" s="102" t="s">
        <v>161</v>
      </c>
      <c r="P14" s="141" t="s">
        <v>162</v>
      </c>
      <c r="Q14" s="144" t="s">
        <v>163</v>
      </c>
    </row>
    <row r="15" spans="1:17" s="102" customFormat="1" ht="49.9" customHeight="1" x14ac:dyDescent="0.25">
      <c r="A15" s="143"/>
      <c r="B15" s="102" t="s">
        <v>164</v>
      </c>
      <c r="E15" s="141" t="s">
        <v>165</v>
      </c>
      <c r="F15" s="102" t="s">
        <v>158</v>
      </c>
      <c r="G15" s="102" t="s">
        <v>28</v>
      </c>
      <c r="H15" s="102">
        <v>1</v>
      </c>
      <c r="I15" s="112">
        <v>24986500</v>
      </c>
      <c r="J15" s="103">
        <v>44501</v>
      </c>
      <c r="K15" s="104">
        <f t="shared" si="0"/>
        <v>11</v>
      </c>
      <c r="L15" s="102" t="s">
        <v>166</v>
      </c>
      <c r="M15" s="105">
        <f>(J15+HLOOKUP(L15,Waranty!$A$1:$H$2,2,TRUE))</f>
        <v>44561</v>
      </c>
      <c r="O15" s="102" t="s">
        <v>167</v>
      </c>
      <c r="P15" s="141" t="s">
        <v>124</v>
      </c>
      <c r="Q15" s="144" t="s">
        <v>53</v>
      </c>
    </row>
    <row r="16" spans="1:17" s="102" customFormat="1" ht="49.9" customHeight="1" x14ac:dyDescent="0.25">
      <c r="A16" s="143"/>
      <c r="B16" s="102" t="s">
        <v>168</v>
      </c>
      <c r="E16" s="102" t="s">
        <v>169</v>
      </c>
      <c r="F16" s="102" t="s">
        <v>158</v>
      </c>
      <c r="G16" s="102" t="s">
        <v>28</v>
      </c>
      <c r="I16" s="112">
        <v>20900000</v>
      </c>
      <c r="J16" s="103">
        <v>44501</v>
      </c>
      <c r="K16" s="104">
        <f t="shared" si="0"/>
        <v>11</v>
      </c>
      <c r="L16" s="102" t="s">
        <v>121</v>
      </c>
      <c r="M16" s="105">
        <f>(J16+HLOOKUP(L16,Waranty!$A$1:$H$2,2,TRUE))</f>
        <v>44531</v>
      </c>
      <c r="O16" s="102" t="s">
        <v>170</v>
      </c>
      <c r="P16" s="141" t="s">
        <v>124</v>
      </c>
      <c r="Q16" s="144" t="s">
        <v>53</v>
      </c>
    </row>
    <row r="17" spans="1:17" s="102" customFormat="1" ht="49.9" customHeight="1" x14ac:dyDescent="0.25">
      <c r="A17" s="143"/>
      <c r="B17" s="102" t="s">
        <v>171</v>
      </c>
      <c r="F17" s="102" t="s">
        <v>158</v>
      </c>
      <c r="G17" s="102" t="s">
        <v>28</v>
      </c>
      <c r="I17" s="112">
        <v>117524160</v>
      </c>
      <c r="J17" s="103">
        <v>44501</v>
      </c>
      <c r="K17" s="104">
        <f t="shared" si="0"/>
        <v>11</v>
      </c>
      <c r="L17" s="102" t="s">
        <v>121</v>
      </c>
      <c r="M17" s="105">
        <f>(J17+HLOOKUP(L17,Waranty!$A$1:$H$2,2,TRUE))</f>
        <v>44531</v>
      </c>
      <c r="N17" s="102" t="s">
        <v>160</v>
      </c>
      <c r="O17" s="102" t="s">
        <v>172</v>
      </c>
      <c r="P17" s="141" t="s">
        <v>173</v>
      </c>
      <c r="Q17" s="145" t="s">
        <v>174</v>
      </c>
    </row>
    <row r="18" spans="1:17" s="102" customFormat="1" ht="49.9" customHeight="1" x14ac:dyDescent="0.25">
      <c r="A18" s="143"/>
      <c r="B18" s="102" t="s">
        <v>175</v>
      </c>
      <c r="F18" s="102" t="s">
        <v>176</v>
      </c>
      <c r="G18" s="102" t="s">
        <v>177</v>
      </c>
      <c r="I18" s="112">
        <v>10000000</v>
      </c>
      <c r="J18" s="103">
        <v>44501</v>
      </c>
      <c r="K18" s="104">
        <f t="shared" si="0"/>
        <v>11</v>
      </c>
      <c r="L18" s="102" t="s">
        <v>121</v>
      </c>
      <c r="M18" s="105">
        <f>(J18+HLOOKUP(L18,Waranty!$A$1:$H$2,2,TRUE))</f>
        <v>44531</v>
      </c>
      <c r="O18" s="102" t="s">
        <v>123</v>
      </c>
      <c r="P18" s="141" t="s">
        <v>124</v>
      </c>
      <c r="Q18" s="146" t="s">
        <v>46</v>
      </c>
    </row>
    <row r="19" spans="1:17" s="102" customFormat="1" ht="49.9" customHeight="1" x14ac:dyDescent="0.25">
      <c r="A19" s="143"/>
      <c r="B19" s="102" t="s">
        <v>178</v>
      </c>
      <c r="F19" s="102" t="s">
        <v>179</v>
      </c>
      <c r="G19" s="102" t="s">
        <v>39</v>
      </c>
      <c r="H19" s="102">
        <v>1</v>
      </c>
      <c r="I19" s="112">
        <v>21990000</v>
      </c>
      <c r="J19" s="103">
        <v>44501</v>
      </c>
      <c r="K19" s="104">
        <f t="shared" si="0"/>
        <v>11</v>
      </c>
      <c r="L19" s="102" t="s">
        <v>121</v>
      </c>
      <c r="M19" s="105">
        <f>(J19+HLOOKUP(L19,Waranty!$A$1:$H$2,2,TRUE))</f>
        <v>44531</v>
      </c>
      <c r="O19" s="102" t="s">
        <v>180</v>
      </c>
      <c r="P19" s="141" t="s">
        <v>173</v>
      </c>
      <c r="Q19" s="147" t="s">
        <v>38</v>
      </c>
    </row>
    <row r="20" spans="1:17" s="102" customFormat="1" ht="49.9" customHeight="1" x14ac:dyDescent="0.25">
      <c r="A20" s="143"/>
      <c r="B20" s="102" t="s">
        <v>181</v>
      </c>
      <c r="F20" s="102" t="s">
        <v>158</v>
      </c>
      <c r="G20" s="102" t="s">
        <v>140</v>
      </c>
      <c r="H20" s="102">
        <v>1</v>
      </c>
      <c r="I20" s="112">
        <v>5980000</v>
      </c>
      <c r="J20" s="103">
        <v>44501</v>
      </c>
      <c r="K20" s="104">
        <f t="shared" si="0"/>
        <v>11</v>
      </c>
      <c r="L20" s="102" t="s">
        <v>121</v>
      </c>
      <c r="M20" s="105">
        <f>(J20+HLOOKUP(L20,Waranty!$A$1:$H$2,2,TRUE))</f>
        <v>44531</v>
      </c>
      <c r="O20" s="102" t="s">
        <v>180</v>
      </c>
      <c r="P20" s="141" t="s">
        <v>173</v>
      </c>
      <c r="Q20" s="147" t="s">
        <v>43</v>
      </c>
    </row>
    <row r="21" spans="1:17" s="102" customFormat="1" ht="49.9" customHeight="1" x14ac:dyDescent="0.25">
      <c r="A21" s="143"/>
      <c r="B21" s="102" t="s">
        <v>182</v>
      </c>
      <c r="F21" s="102" t="s">
        <v>158</v>
      </c>
      <c r="G21" s="102" t="s">
        <v>158</v>
      </c>
      <c r="I21" s="112">
        <v>319000</v>
      </c>
      <c r="J21" s="103">
        <v>44501</v>
      </c>
      <c r="K21" s="104">
        <f t="shared" si="0"/>
        <v>11</v>
      </c>
      <c r="L21" s="102" t="s">
        <v>121</v>
      </c>
      <c r="M21" s="105">
        <f>(J21+HLOOKUP(L21,Waranty!$A$1:$H$2,2,TRUE))</f>
        <v>44531</v>
      </c>
      <c r="N21" s="102" t="s">
        <v>160</v>
      </c>
      <c r="O21" s="102" t="s">
        <v>183</v>
      </c>
      <c r="P21" s="141" t="s">
        <v>162</v>
      </c>
      <c r="Q21" s="144" t="s">
        <v>184</v>
      </c>
    </row>
    <row r="22" spans="1:17" s="102" customFormat="1" ht="49.9" customHeight="1" x14ac:dyDescent="0.25">
      <c r="A22" s="143"/>
      <c r="B22" s="102" t="s">
        <v>185</v>
      </c>
      <c r="F22" s="102" t="s">
        <v>177</v>
      </c>
      <c r="G22" s="102" t="s">
        <v>177</v>
      </c>
      <c r="H22" s="102">
        <v>2</v>
      </c>
      <c r="I22" s="112">
        <v>740000</v>
      </c>
      <c r="J22" s="103">
        <v>44501</v>
      </c>
      <c r="K22" s="104">
        <f t="shared" si="0"/>
        <v>11</v>
      </c>
      <c r="L22" s="102" t="s">
        <v>159</v>
      </c>
      <c r="M22" s="105">
        <f>(J22+HLOOKUP(L22,Waranty!$A$1:$H$2,2,TRUE))</f>
        <v>44531</v>
      </c>
      <c r="O22" s="102" t="s">
        <v>170</v>
      </c>
      <c r="P22" s="141" t="s">
        <v>173</v>
      </c>
      <c r="Q22" s="147" t="s">
        <v>43</v>
      </c>
    </row>
    <row r="23" spans="1:17" s="102" customFormat="1" ht="49.9" customHeight="1" x14ac:dyDescent="0.25">
      <c r="A23" s="143"/>
      <c r="B23" s="102" t="s">
        <v>186</v>
      </c>
      <c r="F23" s="102" t="s">
        <v>158</v>
      </c>
      <c r="G23" s="102" t="s">
        <v>158</v>
      </c>
      <c r="H23" s="102">
        <v>2</v>
      </c>
      <c r="I23" s="112">
        <v>3380000</v>
      </c>
      <c r="J23" s="103">
        <v>44501</v>
      </c>
      <c r="K23" s="104">
        <f t="shared" si="0"/>
        <v>11</v>
      </c>
      <c r="L23" s="102" t="s">
        <v>121</v>
      </c>
      <c r="M23" s="105">
        <f>(J23+HLOOKUP(L23,Waranty!$A$1:$H$2,2,TRUE))</f>
        <v>44531</v>
      </c>
      <c r="O23" s="102" t="s">
        <v>123</v>
      </c>
      <c r="P23" s="141" t="s">
        <v>173</v>
      </c>
      <c r="Q23" s="147" t="s">
        <v>187</v>
      </c>
    </row>
    <row r="24" spans="1:17" s="102" customFormat="1" ht="49.9" customHeight="1" x14ac:dyDescent="0.25">
      <c r="A24" s="143"/>
      <c r="B24" s="102" t="s">
        <v>186</v>
      </c>
      <c r="F24" s="102" t="s">
        <v>158</v>
      </c>
      <c r="G24" s="102" t="s">
        <v>137</v>
      </c>
      <c r="H24" s="102">
        <v>2</v>
      </c>
      <c r="I24" s="112">
        <v>3380000</v>
      </c>
      <c r="J24" s="103">
        <v>44501</v>
      </c>
      <c r="K24" s="104">
        <f t="shared" si="0"/>
        <v>11</v>
      </c>
      <c r="L24" s="102" t="s">
        <v>121</v>
      </c>
      <c r="M24" s="105">
        <f>(J24+HLOOKUP(L24,Waranty!$A$1:$H$2,2,TRUE))</f>
        <v>44531</v>
      </c>
      <c r="N24" s="102" t="s">
        <v>160</v>
      </c>
      <c r="O24" s="102" t="s">
        <v>123</v>
      </c>
      <c r="P24" s="141" t="s">
        <v>173</v>
      </c>
      <c r="Q24" s="147" t="s">
        <v>187</v>
      </c>
    </row>
    <row r="25" spans="1:17" s="102" customFormat="1" ht="49.9" customHeight="1" x14ac:dyDescent="0.25">
      <c r="A25" s="143"/>
      <c r="B25" s="102" t="s">
        <v>188</v>
      </c>
      <c r="E25" s="102" t="s">
        <v>189</v>
      </c>
      <c r="F25" s="102" t="s">
        <v>190</v>
      </c>
      <c r="G25" s="102" t="s">
        <v>191</v>
      </c>
      <c r="H25" s="102">
        <v>1</v>
      </c>
      <c r="I25" s="112">
        <v>385000</v>
      </c>
      <c r="J25" s="103">
        <v>44501</v>
      </c>
      <c r="K25" s="104">
        <f t="shared" si="0"/>
        <v>11</v>
      </c>
      <c r="L25" s="102" t="s">
        <v>121</v>
      </c>
      <c r="M25" s="105">
        <f>(J25+HLOOKUP(L25,Waranty!$A$1:$H$2,2,TRUE))</f>
        <v>44531</v>
      </c>
      <c r="O25" s="102" t="s">
        <v>167</v>
      </c>
      <c r="P25" s="141" t="s">
        <v>124</v>
      </c>
      <c r="Q25" s="142" t="s">
        <v>125</v>
      </c>
    </row>
    <row r="26" spans="1:17" s="102" customFormat="1" ht="49.9" customHeight="1" x14ac:dyDescent="0.25">
      <c r="A26" s="143"/>
      <c r="B26" s="102" t="s">
        <v>188</v>
      </c>
      <c r="E26" s="102" t="s">
        <v>192</v>
      </c>
      <c r="F26" s="102" t="s">
        <v>193</v>
      </c>
      <c r="G26" s="102" t="s">
        <v>158</v>
      </c>
      <c r="H26" s="102">
        <v>1</v>
      </c>
      <c r="I26" s="112">
        <v>203500</v>
      </c>
      <c r="J26" s="103">
        <v>44501</v>
      </c>
      <c r="K26" s="104">
        <f t="shared" si="0"/>
        <v>11</v>
      </c>
      <c r="L26" s="102" t="s">
        <v>121</v>
      </c>
      <c r="M26" s="105">
        <f>(J26+HLOOKUP(L26,Waranty!$A$1:$H$2,2,TRUE))</f>
        <v>44531</v>
      </c>
      <c r="O26" s="102" t="s">
        <v>167</v>
      </c>
      <c r="P26" s="141" t="s">
        <v>124</v>
      </c>
      <c r="Q26" s="142" t="s">
        <v>125</v>
      </c>
    </row>
    <row r="27" spans="1:17" s="102" customFormat="1" ht="49.9" customHeight="1" x14ac:dyDescent="0.25">
      <c r="A27" s="143"/>
      <c r="B27" s="102" t="s">
        <v>188</v>
      </c>
      <c r="E27" s="102" t="s">
        <v>192</v>
      </c>
      <c r="F27" s="102" t="s">
        <v>194</v>
      </c>
      <c r="G27" s="102" t="s">
        <v>195</v>
      </c>
      <c r="H27" s="102">
        <v>1</v>
      </c>
      <c r="I27" s="112">
        <v>203500</v>
      </c>
      <c r="J27" s="103">
        <v>44501</v>
      </c>
      <c r="K27" s="104">
        <f t="shared" si="0"/>
        <v>11</v>
      </c>
      <c r="L27" s="102" t="s">
        <v>121</v>
      </c>
      <c r="M27" s="105">
        <f>(J27+HLOOKUP(L27,Waranty!$A$1:$H$2,2,TRUE))</f>
        <v>44531</v>
      </c>
      <c r="N27" s="102" t="s">
        <v>122</v>
      </c>
      <c r="O27" s="102" t="s">
        <v>167</v>
      </c>
      <c r="P27" s="141" t="s">
        <v>124</v>
      </c>
      <c r="Q27" s="142" t="s">
        <v>125</v>
      </c>
    </row>
    <row r="28" spans="1:17" s="102" customFormat="1" ht="49.9" customHeight="1" x14ac:dyDescent="0.25">
      <c r="A28" s="143"/>
      <c r="B28" s="102" t="s">
        <v>188</v>
      </c>
      <c r="E28" s="102" t="s">
        <v>192</v>
      </c>
      <c r="F28" s="102" t="s">
        <v>196</v>
      </c>
      <c r="G28" s="102" t="s">
        <v>140</v>
      </c>
      <c r="H28" s="102">
        <v>1</v>
      </c>
      <c r="I28" s="112">
        <v>203500</v>
      </c>
      <c r="J28" s="103">
        <v>44501</v>
      </c>
      <c r="K28" s="104">
        <f t="shared" si="0"/>
        <v>11</v>
      </c>
      <c r="L28" s="102" t="s">
        <v>121</v>
      </c>
      <c r="M28" s="105">
        <f>(J28+HLOOKUP(L28,Waranty!$A$1:$H$2,2,TRUE))</f>
        <v>44531</v>
      </c>
      <c r="O28" s="102" t="s">
        <v>167</v>
      </c>
      <c r="P28" s="141" t="s">
        <v>124</v>
      </c>
      <c r="Q28" s="142" t="s">
        <v>125</v>
      </c>
    </row>
    <row r="29" spans="1:17" s="102" customFormat="1" ht="49.9" customHeight="1" x14ac:dyDescent="0.25">
      <c r="A29" s="143"/>
      <c r="B29" s="102" t="s">
        <v>188</v>
      </c>
      <c r="E29" s="102" t="s">
        <v>192</v>
      </c>
      <c r="F29" s="102" t="s">
        <v>197</v>
      </c>
      <c r="G29" s="102" t="s">
        <v>140</v>
      </c>
      <c r="H29" s="102">
        <v>1</v>
      </c>
      <c r="I29" s="112">
        <v>203500</v>
      </c>
      <c r="J29" s="103">
        <v>44501</v>
      </c>
      <c r="K29" s="104">
        <f t="shared" si="0"/>
        <v>11</v>
      </c>
      <c r="L29" s="102" t="s">
        <v>121</v>
      </c>
      <c r="M29" s="105">
        <f>(J29+HLOOKUP(L29,Waranty!$A$1:$H$2,2,TRUE))</f>
        <v>44531</v>
      </c>
      <c r="O29" s="102" t="s">
        <v>167</v>
      </c>
      <c r="P29" s="141" t="s">
        <v>124</v>
      </c>
      <c r="Q29" s="142" t="s">
        <v>125</v>
      </c>
    </row>
    <row r="30" spans="1:17" s="102" customFormat="1" ht="49.9" customHeight="1" x14ac:dyDescent="0.25">
      <c r="A30" s="143"/>
      <c r="B30" s="102" t="s">
        <v>188</v>
      </c>
      <c r="E30" s="102" t="s">
        <v>192</v>
      </c>
      <c r="F30" s="102" t="s">
        <v>198</v>
      </c>
      <c r="G30" s="102" t="s">
        <v>199</v>
      </c>
      <c r="H30" s="102">
        <v>1</v>
      </c>
      <c r="I30" s="112">
        <v>203500</v>
      </c>
      <c r="J30" s="103">
        <v>44501</v>
      </c>
      <c r="K30" s="104">
        <f t="shared" si="0"/>
        <v>11</v>
      </c>
      <c r="L30" s="102" t="s">
        <v>121</v>
      </c>
      <c r="M30" s="105">
        <f>(J30+HLOOKUP(L30,Waranty!$A$1:$H$2,2,TRUE))</f>
        <v>44531</v>
      </c>
      <c r="O30" s="102" t="s">
        <v>167</v>
      </c>
      <c r="P30" s="141" t="s">
        <v>124</v>
      </c>
      <c r="Q30" s="142" t="s">
        <v>125</v>
      </c>
    </row>
    <row r="31" spans="1:17" s="102" customFormat="1" ht="49.9" customHeight="1" x14ac:dyDescent="0.25">
      <c r="A31" s="143"/>
      <c r="B31" s="102" t="s">
        <v>200</v>
      </c>
      <c r="E31" s="102" t="s">
        <v>201</v>
      </c>
      <c r="F31" s="102" t="s">
        <v>202</v>
      </c>
      <c r="G31" s="102" t="s">
        <v>158</v>
      </c>
      <c r="H31" s="102">
        <v>1</v>
      </c>
      <c r="I31" s="112">
        <v>385000</v>
      </c>
      <c r="J31" s="103">
        <v>44504</v>
      </c>
      <c r="K31" s="104">
        <f t="shared" si="0"/>
        <v>11</v>
      </c>
      <c r="L31" s="102" t="s">
        <v>121</v>
      </c>
      <c r="M31" s="105">
        <f>(J31+HLOOKUP(L31,Waranty!$A$1:$H$2,2,TRUE))</f>
        <v>44534</v>
      </c>
      <c r="O31" s="102" t="s">
        <v>123</v>
      </c>
      <c r="P31" s="141" t="s">
        <v>124</v>
      </c>
      <c r="Q31" s="142" t="s">
        <v>125</v>
      </c>
    </row>
    <row r="32" spans="1:17" s="102" customFormat="1" ht="49.9" customHeight="1" x14ac:dyDescent="0.25">
      <c r="B32" s="102" t="s">
        <v>203</v>
      </c>
      <c r="E32" s="102" t="s">
        <v>204</v>
      </c>
      <c r="F32" s="102" t="s">
        <v>202</v>
      </c>
      <c r="G32" s="102" t="s">
        <v>158</v>
      </c>
      <c r="H32" s="102">
        <v>2</v>
      </c>
      <c r="I32" s="112">
        <v>1210000</v>
      </c>
      <c r="J32" s="103">
        <v>44504</v>
      </c>
      <c r="K32" s="104">
        <f t="shared" si="0"/>
        <v>11</v>
      </c>
      <c r="L32" s="102" t="s">
        <v>121</v>
      </c>
      <c r="M32" s="105">
        <f>(J32+HLOOKUP(L32,Waranty!$A$1:$H$2,2,TRUE))</f>
        <v>44534</v>
      </c>
      <c r="O32" s="102" t="s">
        <v>123</v>
      </c>
      <c r="P32" s="141" t="s">
        <v>124</v>
      </c>
      <c r="Q32" s="142" t="s">
        <v>125</v>
      </c>
    </row>
    <row r="33" spans="1:17" s="102" customFormat="1" ht="49.9" customHeight="1" x14ac:dyDescent="0.25">
      <c r="B33" s="102" t="s">
        <v>188</v>
      </c>
      <c r="E33" s="102" t="s">
        <v>205</v>
      </c>
      <c r="F33" s="102" t="s">
        <v>206</v>
      </c>
      <c r="G33" s="102" t="s">
        <v>140</v>
      </c>
      <c r="H33" s="102">
        <v>1</v>
      </c>
      <c r="I33" s="112">
        <v>330000</v>
      </c>
      <c r="J33" s="103">
        <v>44504</v>
      </c>
      <c r="K33" s="104">
        <f t="shared" si="0"/>
        <v>11</v>
      </c>
      <c r="L33" s="102" t="s">
        <v>121</v>
      </c>
      <c r="M33" s="105">
        <f>(J33+HLOOKUP(L33,Waranty!$A$1:$H$2,2,TRUE))</f>
        <v>44534</v>
      </c>
      <c r="O33" s="102" t="s">
        <v>123</v>
      </c>
      <c r="P33" s="141" t="s">
        <v>124</v>
      </c>
      <c r="Q33" s="142" t="s">
        <v>125</v>
      </c>
    </row>
    <row r="34" spans="1:17" s="102" customFormat="1" ht="49.9" customHeight="1" x14ac:dyDescent="0.25">
      <c r="B34" s="102" t="s">
        <v>126</v>
      </c>
      <c r="C34" s="102" t="s">
        <v>207</v>
      </c>
      <c r="F34" s="102" t="s">
        <v>208</v>
      </c>
      <c r="G34" s="102" t="s">
        <v>209</v>
      </c>
      <c r="H34" s="102">
        <v>1</v>
      </c>
      <c r="I34" s="112">
        <v>0</v>
      </c>
      <c r="J34" s="103">
        <v>44512</v>
      </c>
      <c r="K34" s="104">
        <f t="shared" si="0"/>
        <v>11</v>
      </c>
      <c r="L34" s="102" t="s">
        <v>121</v>
      </c>
      <c r="M34" s="105">
        <f>(J34+HLOOKUP(L34,Waranty!$A$1:$H$2,2,TRUE))</f>
        <v>44542</v>
      </c>
      <c r="O34" s="102" t="s">
        <v>210</v>
      </c>
      <c r="P34" s="141" t="s">
        <v>124</v>
      </c>
      <c r="Q34" s="142" t="s">
        <v>125</v>
      </c>
    </row>
    <row r="35" spans="1:17" s="102" customFormat="1" ht="49.9" customHeight="1" x14ac:dyDescent="0.25">
      <c r="B35" s="102" t="s">
        <v>211</v>
      </c>
      <c r="C35" s="102" t="s">
        <v>117</v>
      </c>
      <c r="F35" s="102" t="s">
        <v>212</v>
      </c>
      <c r="G35" s="102" t="s">
        <v>213</v>
      </c>
      <c r="H35" s="102">
        <v>1</v>
      </c>
      <c r="I35" s="112">
        <v>660000</v>
      </c>
      <c r="J35" s="103">
        <v>44513</v>
      </c>
      <c r="K35" s="104">
        <f t="shared" si="0"/>
        <v>11</v>
      </c>
      <c r="L35" s="102" t="s">
        <v>214</v>
      </c>
      <c r="M35" s="105">
        <f>(J35+HLOOKUP(L35,Waranty!$A$1:$H$2,2,TRUE))</f>
        <v>44603</v>
      </c>
      <c r="N35" s="102" t="s">
        <v>215</v>
      </c>
      <c r="O35" s="102" t="s">
        <v>123</v>
      </c>
      <c r="P35" s="141" t="s">
        <v>124</v>
      </c>
      <c r="Q35" s="142" t="s">
        <v>125</v>
      </c>
    </row>
    <row r="36" spans="1:17" s="102" customFormat="1" ht="49.9" customHeight="1" x14ac:dyDescent="0.25">
      <c r="B36" s="102" t="s">
        <v>147</v>
      </c>
      <c r="C36" s="102" t="s">
        <v>117</v>
      </c>
      <c r="F36" s="141" t="s">
        <v>216</v>
      </c>
      <c r="G36" s="102" t="s">
        <v>195</v>
      </c>
      <c r="H36" s="102">
        <v>1</v>
      </c>
      <c r="I36" s="112">
        <v>550000</v>
      </c>
      <c r="J36" s="103">
        <v>44514</v>
      </c>
      <c r="K36" s="104">
        <f t="shared" si="0"/>
        <v>11</v>
      </c>
      <c r="L36" s="102" t="s">
        <v>121</v>
      </c>
      <c r="M36" s="105">
        <f>(J36+HLOOKUP(L36,Waranty!$A$1:$H$2,2,TRUE))</f>
        <v>44544</v>
      </c>
      <c r="N36" s="102" t="s">
        <v>122</v>
      </c>
      <c r="O36" s="102" t="s">
        <v>167</v>
      </c>
      <c r="P36" s="141" t="s">
        <v>124</v>
      </c>
      <c r="Q36" s="142" t="s">
        <v>125</v>
      </c>
    </row>
    <row r="37" spans="1:17" s="102" customFormat="1" ht="49.9" customHeight="1" x14ac:dyDescent="0.25">
      <c r="B37" s="102" t="s">
        <v>147</v>
      </c>
      <c r="C37" s="102" t="s">
        <v>117</v>
      </c>
      <c r="F37" s="141" t="s">
        <v>217</v>
      </c>
      <c r="G37" s="102" t="s">
        <v>149</v>
      </c>
      <c r="H37" s="102">
        <v>1</v>
      </c>
      <c r="I37" s="112">
        <v>550000</v>
      </c>
      <c r="J37" s="103">
        <v>44514</v>
      </c>
      <c r="K37" s="104">
        <f t="shared" si="0"/>
        <v>11</v>
      </c>
      <c r="L37" s="102" t="s">
        <v>121</v>
      </c>
      <c r="M37" s="105">
        <f>(J37+HLOOKUP(L37,Waranty!$A$1:$H$2,2,TRUE))</f>
        <v>44544</v>
      </c>
      <c r="O37" s="102" t="s">
        <v>167</v>
      </c>
      <c r="P37" s="141" t="s">
        <v>124</v>
      </c>
      <c r="Q37" s="142" t="s">
        <v>125</v>
      </c>
    </row>
    <row r="38" spans="1:17" s="102" customFormat="1" ht="49.9" customHeight="1" x14ac:dyDescent="0.25">
      <c r="B38" s="102" t="s">
        <v>147</v>
      </c>
      <c r="C38" s="102" t="s">
        <v>117</v>
      </c>
      <c r="F38" s="102" t="s">
        <v>218</v>
      </c>
      <c r="G38" s="102" t="s">
        <v>219</v>
      </c>
      <c r="H38" s="102">
        <v>1</v>
      </c>
      <c r="I38" s="112">
        <v>550000</v>
      </c>
      <c r="J38" s="103">
        <v>44514</v>
      </c>
      <c r="K38" s="104">
        <f t="shared" si="0"/>
        <v>11</v>
      </c>
      <c r="L38" s="102" t="s">
        <v>121</v>
      </c>
      <c r="M38" s="105">
        <f>(J38+HLOOKUP(L38,Waranty!$A$1:$H$2,2,TRUE))</f>
        <v>44544</v>
      </c>
      <c r="N38" s="102" t="s">
        <v>122</v>
      </c>
      <c r="O38" s="102" t="s">
        <v>167</v>
      </c>
      <c r="P38" s="141" t="s">
        <v>124</v>
      </c>
      <c r="Q38" s="142" t="s">
        <v>125</v>
      </c>
    </row>
    <row r="39" spans="1:17" s="102" customFormat="1" ht="49.9" customHeight="1" x14ac:dyDescent="0.25">
      <c r="B39" s="102" t="s">
        <v>147</v>
      </c>
      <c r="C39" s="102" t="s">
        <v>117</v>
      </c>
      <c r="F39" s="102" t="s">
        <v>220</v>
      </c>
      <c r="G39" s="102" t="s">
        <v>219</v>
      </c>
      <c r="H39" s="102">
        <v>1</v>
      </c>
      <c r="I39" s="112">
        <v>550000</v>
      </c>
      <c r="J39" s="103">
        <v>44514</v>
      </c>
      <c r="K39" s="104">
        <f t="shared" si="0"/>
        <v>11</v>
      </c>
      <c r="L39" s="102" t="s">
        <v>121</v>
      </c>
      <c r="M39" s="105">
        <f>(J39+HLOOKUP(L39,Waranty!$A$1:$H$2,2,TRUE))</f>
        <v>44544</v>
      </c>
      <c r="N39" s="102" t="s">
        <v>122</v>
      </c>
      <c r="O39" s="102" t="s">
        <v>167</v>
      </c>
      <c r="P39" s="141" t="s">
        <v>124</v>
      </c>
      <c r="Q39" s="142" t="s">
        <v>125</v>
      </c>
    </row>
    <row r="40" spans="1:17" s="102" customFormat="1" ht="49.9" customHeight="1" x14ac:dyDescent="0.25">
      <c r="B40" s="102" t="s">
        <v>116</v>
      </c>
      <c r="C40" s="102" t="s">
        <v>138</v>
      </c>
      <c r="F40" s="102" t="s">
        <v>221</v>
      </c>
      <c r="G40" s="102" t="s">
        <v>219</v>
      </c>
      <c r="H40" s="102">
        <v>1</v>
      </c>
      <c r="I40" s="112">
        <v>550000</v>
      </c>
      <c r="J40" s="103">
        <v>44514</v>
      </c>
      <c r="K40" s="104">
        <f t="shared" si="0"/>
        <v>11</v>
      </c>
      <c r="L40" s="102" t="s">
        <v>121</v>
      </c>
      <c r="M40" s="105">
        <f>(J40+HLOOKUP(L40,Waranty!$A$1:$H$2,2,TRUE))</f>
        <v>44544</v>
      </c>
      <c r="N40" s="102" t="s">
        <v>122</v>
      </c>
      <c r="O40" s="102" t="s">
        <v>167</v>
      </c>
      <c r="P40" s="141" t="s">
        <v>124</v>
      </c>
      <c r="Q40" s="142" t="s">
        <v>125</v>
      </c>
    </row>
    <row r="41" spans="1:17" s="102" customFormat="1" ht="49.9" customHeight="1" x14ac:dyDescent="0.25">
      <c r="B41" s="102" t="s">
        <v>211</v>
      </c>
      <c r="C41" s="102" t="s">
        <v>131</v>
      </c>
      <c r="F41" s="102" t="s">
        <v>222</v>
      </c>
      <c r="G41" s="102" t="s">
        <v>213</v>
      </c>
      <c r="H41" s="102">
        <v>1</v>
      </c>
      <c r="I41" s="112">
        <v>770000</v>
      </c>
      <c r="J41" s="103">
        <v>44518</v>
      </c>
      <c r="K41" s="104">
        <f t="shared" si="0"/>
        <v>11</v>
      </c>
      <c r="L41" s="102" t="s">
        <v>214</v>
      </c>
      <c r="M41" s="105">
        <f>(J41+HLOOKUP(L41,Waranty!$A$1:$H$2,2,TRUE))</f>
        <v>44608</v>
      </c>
      <c r="N41" s="102" t="s">
        <v>215</v>
      </c>
      <c r="O41" s="102" t="s">
        <v>123</v>
      </c>
      <c r="P41" s="141" t="s">
        <v>124</v>
      </c>
      <c r="Q41" s="142" t="s">
        <v>125</v>
      </c>
    </row>
    <row r="42" spans="1:17" s="102" customFormat="1" ht="49.9" customHeight="1" x14ac:dyDescent="0.25">
      <c r="B42" s="102" t="s">
        <v>211</v>
      </c>
      <c r="C42" s="102" t="s">
        <v>117</v>
      </c>
      <c r="F42" s="102" t="s">
        <v>217</v>
      </c>
      <c r="G42" s="102" t="s">
        <v>149</v>
      </c>
      <c r="H42" s="102">
        <v>1</v>
      </c>
      <c r="I42" s="112">
        <v>770000</v>
      </c>
      <c r="J42" s="103">
        <v>44518</v>
      </c>
      <c r="K42" s="104">
        <f t="shared" si="0"/>
        <v>11</v>
      </c>
      <c r="L42" s="102" t="s">
        <v>214</v>
      </c>
      <c r="M42" s="105">
        <f>(J42+HLOOKUP(L42,Waranty!$A$1:$H$2,2,TRUE))</f>
        <v>44608</v>
      </c>
      <c r="N42" s="102" t="s">
        <v>215</v>
      </c>
      <c r="O42" s="102" t="s">
        <v>123</v>
      </c>
      <c r="P42" s="141" t="s">
        <v>124</v>
      </c>
      <c r="Q42" s="142" t="s">
        <v>125</v>
      </c>
    </row>
    <row r="43" spans="1:17" s="102" customFormat="1" ht="49.9" customHeight="1" x14ac:dyDescent="0.25">
      <c r="B43" s="102" t="s">
        <v>223</v>
      </c>
      <c r="C43" s="102" t="s">
        <v>144</v>
      </c>
      <c r="F43" s="102" t="s">
        <v>224</v>
      </c>
      <c r="G43" s="102" t="s">
        <v>140</v>
      </c>
      <c r="H43" s="102">
        <v>1</v>
      </c>
      <c r="I43" s="112">
        <v>605000</v>
      </c>
      <c r="J43" s="103">
        <v>44518</v>
      </c>
      <c r="K43" s="104">
        <f t="shared" si="0"/>
        <v>11</v>
      </c>
      <c r="L43" s="102" t="s">
        <v>214</v>
      </c>
      <c r="M43" s="105">
        <f>(J43+HLOOKUP(L43,Waranty!$A$1:$H$2,2,TRUE))</f>
        <v>44608</v>
      </c>
      <c r="O43" s="102" t="s">
        <v>123</v>
      </c>
      <c r="P43" s="141" t="s">
        <v>124</v>
      </c>
      <c r="Q43" s="142" t="s">
        <v>125</v>
      </c>
    </row>
    <row r="44" spans="1:17" s="102" customFormat="1" ht="49.9" customHeight="1" x14ac:dyDescent="0.25">
      <c r="B44" s="102" t="s">
        <v>147</v>
      </c>
      <c r="C44" s="102" t="s">
        <v>155</v>
      </c>
      <c r="F44" s="102" t="s">
        <v>225</v>
      </c>
      <c r="G44" s="102" t="s">
        <v>226</v>
      </c>
      <c r="H44" s="102">
        <v>1</v>
      </c>
      <c r="I44" s="112">
        <v>605000</v>
      </c>
      <c r="J44" s="103">
        <v>44523</v>
      </c>
      <c r="K44" s="104">
        <f t="shared" si="0"/>
        <v>11</v>
      </c>
      <c r="L44" s="102" t="s">
        <v>121</v>
      </c>
      <c r="M44" s="105">
        <f>(J44+HLOOKUP(L44,Waranty!$A$1:$H$2,2,TRUE))</f>
        <v>44553</v>
      </c>
      <c r="N44" s="102" t="s">
        <v>122</v>
      </c>
      <c r="O44" s="102" t="s">
        <v>123</v>
      </c>
      <c r="P44" s="141" t="s">
        <v>124</v>
      </c>
      <c r="Q44" s="142" t="s">
        <v>125</v>
      </c>
    </row>
    <row r="45" spans="1:17" s="102" customFormat="1" ht="49.9" customHeight="1" x14ac:dyDescent="0.25">
      <c r="B45" s="102" t="s">
        <v>147</v>
      </c>
      <c r="C45" s="102" t="s">
        <v>131</v>
      </c>
      <c r="F45" s="102" t="s">
        <v>227</v>
      </c>
      <c r="G45" s="102" t="s">
        <v>228</v>
      </c>
      <c r="H45" s="102">
        <v>1</v>
      </c>
      <c r="I45" s="112">
        <v>605000</v>
      </c>
      <c r="J45" s="103">
        <v>44523</v>
      </c>
      <c r="K45" s="104">
        <f t="shared" si="0"/>
        <v>11</v>
      </c>
      <c r="L45" s="102" t="s">
        <v>121</v>
      </c>
      <c r="M45" s="105">
        <f>(J45+HLOOKUP(L45,Waranty!$A$1:$H$2,2,TRUE))</f>
        <v>44553</v>
      </c>
      <c r="O45" s="102" t="s">
        <v>123</v>
      </c>
      <c r="P45" s="141" t="s">
        <v>124</v>
      </c>
      <c r="Q45" s="142" t="s">
        <v>125</v>
      </c>
    </row>
    <row r="46" spans="1:17" s="102" customFormat="1" ht="49.9" customHeight="1" x14ac:dyDescent="0.25">
      <c r="B46" s="102" t="s">
        <v>147</v>
      </c>
      <c r="C46" s="102" t="s">
        <v>131</v>
      </c>
      <c r="F46" s="102" t="s">
        <v>222</v>
      </c>
      <c r="G46" s="102" t="s">
        <v>213</v>
      </c>
      <c r="H46" s="102">
        <v>1</v>
      </c>
      <c r="I46" s="112">
        <v>605000</v>
      </c>
      <c r="J46" s="103">
        <v>44523</v>
      </c>
      <c r="K46" s="104">
        <f t="shared" si="0"/>
        <v>11</v>
      </c>
      <c r="L46" s="102" t="s">
        <v>121</v>
      </c>
      <c r="M46" s="105">
        <f>(J46+HLOOKUP(L46,Waranty!$A$1:$H$2,2,TRUE))</f>
        <v>44553</v>
      </c>
      <c r="O46" s="102" t="s">
        <v>123</v>
      </c>
      <c r="P46" s="141" t="s">
        <v>124</v>
      </c>
      <c r="Q46" s="142" t="s">
        <v>125</v>
      </c>
    </row>
    <row r="47" spans="1:17" s="102" customFormat="1" ht="49.9" customHeight="1" x14ac:dyDescent="0.25">
      <c r="A47" s="143"/>
      <c r="B47" s="102" t="s">
        <v>126</v>
      </c>
      <c r="C47" s="102" t="s">
        <v>117</v>
      </c>
      <c r="F47" s="102" t="s">
        <v>229</v>
      </c>
      <c r="G47" s="102" t="s">
        <v>226</v>
      </c>
      <c r="H47" s="102">
        <v>1</v>
      </c>
      <c r="I47" s="112">
        <v>990000</v>
      </c>
      <c r="J47" s="103">
        <v>44523</v>
      </c>
      <c r="K47" s="104">
        <f t="shared" si="0"/>
        <v>11</v>
      </c>
      <c r="L47" s="102" t="s">
        <v>121</v>
      </c>
      <c r="M47" s="105">
        <f>(J47+HLOOKUP(L47,Waranty!$A$1:$H$2,2,TRUE))</f>
        <v>44553</v>
      </c>
      <c r="N47" s="102" t="s">
        <v>122</v>
      </c>
      <c r="O47" s="102" t="s">
        <v>123</v>
      </c>
      <c r="P47" s="141" t="s">
        <v>124</v>
      </c>
      <c r="Q47" s="142" t="s">
        <v>125</v>
      </c>
    </row>
    <row r="48" spans="1:17" s="102" customFormat="1" ht="49.9" customHeight="1" x14ac:dyDescent="0.25">
      <c r="A48" s="143"/>
      <c r="B48" s="102" t="s">
        <v>126</v>
      </c>
      <c r="C48" s="102" t="s">
        <v>117</v>
      </c>
      <c r="F48" s="102" t="s">
        <v>218</v>
      </c>
      <c r="G48" s="102" t="s">
        <v>219</v>
      </c>
      <c r="H48" s="102">
        <v>1</v>
      </c>
      <c r="I48" s="112">
        <v>990000</v>
      </c>
      <c r="J48" s="103">
        <v>44523</v>
      </c>
      <c r="K48" s="104">
        <f t="shared" si="0"/>
        <v>11</v>
      </c>
      <c r="L48" s="102" t="s">
        <v>121</v>
      </c>
      <c r="M48" s="105">
        <f>(J48+HLOOKUP(L48,Waranty!$A$1:$H$2,2,TRUE))</f>
        <v>44553</v>
      </c>
      <c r="N48" s="102" t="s">
        <v>122</v>
      </c>
      <c r="O48" s="102" t="s">
        <v>123</v>
      </c>
      <c r="P48" s="141" t="s">
        <v>124</v>
      </c>
      <c r="Q48" s="142" t="s">
        <v>125</v>
      </c>
    </row>
    <row r="49" spans="1:17" s="102" customFormat="1" ht="49.9" customHeight="1" x14ac:dyDescent="0.25">
      <c r="A49" s="143"/>
      <c r="B49" s="102" t="s">
        <v>157</v>
      </c>
      <c r="F49" s="102" t="s">
        <v>158</v>
      </c>
      <c r="G49" s="102" t="s">
        <v>28</v>
      </c>
      <c r="I49" s="112">
        <v>3910000</v>
      </c>
      <c r="J49" s="103">
        <v>44531</v>
      </c>
      <c r="K49" s="104">
        <f t="shared" si="0"/>
        <v>12</v>
      </c>
      <c r="L49" s="102" t="s">
        <v>159</v>
      </c>
      <c r="M49" s="105">
        <f>(J49+HLOOKUP(L49,Waranty!$A$1:$H$2,2,TRUE))</f>
        <v>44561</v>
      </c>
      <c r="N49" s="102" t="s">
        <v>160</v>
      </c>
      <c r="O49" s="102" t="s">
        <v>230</v>
      </c>
      <c r="P49" s="141" t="s">
        <v>162</v>
      </c>
      <c r="Q49" s="144" t="s">
        <v>163</v>
      </c>
    </row>
    <row r="50" spans="1:17" s="102" customFormat="1" ht="49.9" customHeight="1" x14ac:dyDescent="0.25">
      <c r="B50" s="102" t="s">
        <v>231</v>
      </c>
      <c r="E50" s="102" t="s">
        <v>232</v>
      </c>
      <c r="F50" s="102" t="s">
        <v>233</v>
      </c>
      <c r="G50" s="102" t="s">
        <v>234</v>
      </c>
      <c r="H50" s="102">
        <v>1</v>
      </c>
      <c r="I50" s="112">
        <v>1980000</v>
      </c>
      <c r="J50" s="103">
        <v>44531</v>
      </c>
      <c r="K50" s="104">
        <f t="shared" si="0"/>
        <v>12</v>
      </c>
      <c r="L50" s="102" t="s">
        <v>214</v>
      </c>
      <c r="M50" s="105">
        <f>(J50+HLOOKUP(L50,Waranty!$A$1:$H$2,2,TRUE))</f>
        <v>44621</v>
      </c>
      <c r="O50" s="102" t="s">
        <v>167</v>
      </c>
      <c r="P50" s="141" t="s">
        <v>124</v>
      </c>
      <c r="Q50" s="142" t="s">
        <v>125</v>
      </c>
    </row>
    <row r="51" spans="1:17" s="102" customFormat="1" ht="49.9" customHeight="1" x14ac:dyDescent="0.25">
      <c r="B51" s="102" t="s">
        <v>235</v>
      </c>
      <c r="E51" s="102" t="s">
        <v>232</v>
      </c>
      <c r="F51" s="102" t="s">
        <v>233</v>
      </c>
      <c r="G51" s="102" t="s">
        <v>234</v>
      </c>
      <c r="H51" s="102">
        <v>1</v>
      </c>
      <c r="I51" s="112">
        <v>2200000</v>
      </c>
      <c r="J51" s="103">
        <v>44531</v>
      </c>
      <c r="K51" s="104">
        <f t="shared" si="0"/>
        <v>12</v>
      </c>
      <c r="L51" s="102" t="s">
        <v>214</v>
      </c>
      <c r="M51" s="105">
        <f>(J51+HLOOKUP(L51,Waranty!$A$1:$H$2,2,TRUE))</f>
        <v>44621</v>
      </c>
      <c r="O51" s="102" t="s">
        <v>167</v>
      </c>
      <c r="P51" s="141" t="s">
        <v>124</v>
      </c>
      <c r="Q51" s="142" t="s">
        <v>125</v>
      </c>
    </row>
    <row r="52" spans="1:17" s="102" customFormat="1" ht="49.9" customHeight="1" x14ac:dyDescent="0.25">
      <c r="B52" s="102" t="s">
        <v>188</v>
      </c>
      <c r="E52" s="102" t="s">
        <v>236</v>
      </c>
      <c r="F52" s="102" t="s">
        <v>237</v>
      </c>
      <c r="G52" s="102" t="s">
        <v>234</v>
      </c>
      <c r="H52" s="102">
        <v>1</v>
      </c>
      <c r="I52" s="112">
        <v>649000</v>
      </c>
      <c r="J52" s="103">
        <v>44533</v>
      </c>
      <c r="K52" s="104">
        <f t="shared" si="0"/>
        <v>12</v>
      </c>
      <c r="L52" s="102" t="s">
        <v>121</v>
      </c>
      <c r="M52" s="105">
        <f>(J52+HLOOKUP(L52,Waranty!$A$1:$H$2,2,TRUE))</f>
        <v>44563</v>
      </c>
      <c r="O52" s="102" t="s">
        <v>123</v>
      </c>
      <c r="P52" s="141" t="s">
        <v>124</v>
      </c>
      <c r="Q52" s="142" t="s">
        <v>125</v>
      </c>
    </row>
    <row r="53" spans="1:17" s="102" customFormat="1" ht="49.9" customHeight="1" x14ac:dyDescent="0.25">
      <c r="B53" s="102" t="s">
        <v>238</v>
      </c>
      <c r="C53" s="102" t="s">
        <v>138</v>
      </c>
      <c r="F53" s="102" t="s">
        <v>239</v>
      </c>
      <c r="G53" s="102" t="s">
        <v>240</v>
      </c>
      <c r="H53" s="102">
        <v>1</v>
      </c>
      <c r="I53" s="112">
        <v>9545000</v>
      </c>
      <c r="J53" s="103">
        <v>44533</v>
      </c>
      <c r="K53" s="104">
        <f t="shared" si="0"/>
        <v>12</v>
      </c>
      <c r="L53" s="102" t="s">
        <v>214</v>
      </c>
      <c r="M53" s="105">
        <f>(J53+HLOOKUP(L53,Waranty!$A$1:$H$2,2,TRUE))</f>
        <v>44623</v>
      </c>
      <c r="N53" s="102" t="s">
        <v>122</v>
      </c>
      <c r="O53" s="102" t="s">
        <v>241</v>
      </c>
      <c r="P53" s="141" t="s">
        <v>124</v>
      </c>
      <c r="Q53" s="142" t="s">
        <v>125</v>
      </c>
    </row>
    <row r="54" spans="1:17" s="102" customFormat="1" ht="24" customHeight="1" x14ac:dyDescent="0.25">
      <c r="B54" s="102" t="s">
        <v>116</v>
      </c>
      <c r="C54" s="102" t="s">
        <v>131</v>
      </c>
      <c r="F54" s="102" t="s">
        <v>242</v>
      </c>
      <c r="G54" s="102" t="s">
        <v>153</v>
      </c>
      <c r="H54" s="102">
        <v>1</v>
      </c>
      <c r="I54" s="112">
        <v>528000</v>
      </c>
      <c r="J54" s="103">
        <v>44536</v>
      </c>
      <c r="K54" s="104">
        <f t="shared" si="0"/>
        <v>12</v>
      </c>
      <c r="L54" s="102" t="s">
        <v>121</v>
      </c>
      <c r="M54" s="105">
        <f>(J54+HLOOKUP(L54,Waranty!$A$1:$H$2,2,TRUE))</f>
        <v>44566</v>
      </c>
      <c r="O54" s="102" t="s">
        <v>123</v>
      </c>
      <c r="P54" s="141" t="s">
        <v>124</v>
      </c>
      <c r="Q54" s="142" t="s">
        <v>125</v>
      </c>
    </row>
    <row r="55" spans="1:17" s="102" customFormat="1" ht="43.15" customHeight="1" x14ac:dyDescent="0.25">
      <c r="B55" s="102" t="s">
        <v>126</v>
      </c>
      <c r="C55" s="102" t="s">
        <v>117</v>
      </c>
      <c r="F55" s="102" t="s">
        <v>243</v>
      </c>
      <c r="G55" s="102" t="s">
        <v>149</v>
      </c>
      <c r="H55" s="102">
        <v>1</v>
      </c>
      <c r="I55" s="112">
        <v>935000</v>
      </c>
      <c r="J55" s="103">
        <v>44536</v>
      </c>
      <c r="K55" s="104">
        <f t="shared" si="0"/>
        <v>12</v>
      </c>
      <c r="L55" s="102" t="s">
        <v>121</v>
      </c>
      <c r="M55" s="105">
        <f>(J55+HLOOKUP(L55,Waranty!$A$1:$H$2,2,TRUE))</f>
        <v>44566</v>
      </c>
      <c r="O55" s="102" t="s">
        <v>123</v>
      </c>
      <c r="P55" s="141" t="s">
        <v>124</v>
      </c>
      <c r="Q55" s="142" t="s">
        <v>125</v>
      </c>
    </row>
    <row r="56" spans="1:17" s="102" customFormat="1" ht="24.6" customHeight="1" x14ac:dyDescent="0.25">
      <c r="B56" s="102" t="s">
        <v>126</v>
      </c>
      <c r="C56" s="102" t="s">
        <v>117</v>
      </c>
      <c r="F56" s="102" t="s">
        <v>216</v>
      </c>
      <c r="G56" s="102" t="s">
        <v>195</v>
      </c>
      <c r="H56" s="102">
        <v>1</v>
      </c>
      <c r="I56" s="112">
        <v>935000</v>
      </c>
      <c r="J56" s="103">
        <v>44536</v>
      </c>
      <c r="K56" s="104">
        <f t="shared" si="0"/>
        <v>12</v>
      </c>
      <c r="L56" s="102" t="s">
        <v>121</v>
      </c>
      <c r="M56" s="105">
        <f>(J56+HLOOKUP(L56,Waranty!$A$1:$H$2,2,TRUE))</f>
        <v>44566</v>
      </c>
      <c r="N56" s="102" t="s">
        <v>122</v>
      </c>
      <c r="O56" s="102" t="s">
        <v>123</v>
      </c>
      <c r="P56" s="141" t="s">
        <v>124</v>
      </c>
      <c r="Q56" s="142" t="s">
        <v>125</v>
      </c>
    </row>
    <row r="57" spans="1:17" s="102" customFormat="1" ht="87" customHeight="1" x14ac:dyDescent="0.25">
      <c r="B57" s="102" t="s">
        <v>126</v>
      </c>
      <c r="C57" s="102" t="s">
        <v>129</v>
      </c>
      <c r="F57" s="102" t="s">
        <v>244</v>
      </c>
      <c r="G57" s="102" t="s">
        <v>134</v>
      </c>
      <c r="H57" s="102">
        <v>1</v>
      </c>
      <c r="I57" s="112">
        <v>759000</v>
      </c>
      <c r="J57" s="125">
        <v>44536</v>
      </c>
      <c r="K57" s="104">
        <f t="shared" si="0"/>
        <v>12</v>
      </c>
      <c r="L57" s="102" t="s">
        <v>121</v>
      </c>
      <c r="M57" s="105">
        <f>(J57+HLOOKUP(L57,Waranty!$A$1:$H$2,2,TRUE))</f>
        <v>44566</v>
      </c>
      <c r="N57" s="102" t="s">
        <v>122</v>
      </c>
      <c r="O57" s="102" t="s">
        <v>123</v>
      </c>
      <c r="P57" s="141" t="s">
        <v>124</v>
      </c>
      <c r="Q57" s="142" t="s">
        <v>125</v>
      </c>
    </row>
    <row r="58" spans="1:17" s="102" customFormat="1" ht="49.9" customHeight="1" x14ac:dyDescent="0.25">
      <c r="B58" s="102" t="s">
        <v>126</v>
      </c>
      <c r="C58" s="102" t="s">
        <v>129</v>
      </c>
      <c r="F58" s="102" t="s">
        <v>245</v>
      </c>
      <c r="G58" s="102" t="s">
        <v>128</v>
      </c>
      <c r="H58" s="102">
        <v>1</v>
      </c>
      <c r="I58" s="112">
        <v>759000</v>
      </c>
      <c r="J58" s="103">
        <v>44536</v>
      </c>
      <c r="K58" s="104">
        <f t="shared" si="0"/>
        <v>12</v>
      </c>
      <c r="L58" s="102" t="s">
        <v>121</v>
      </c>
      <c r="M58" s="105">
        <f>(J58+HLOOKUP(L58,Waranty!$A$1:$H$2,2,TRUE))</f>
        <v>44566</v>
      </c>
      <c r="O58" s="102" t="s">
        <v>123</v>
      </c>
      <c r="P58" s="141" t="s">
        <v>124</v>
      </c>
      <c r="Q58" s="142" t="s">
        <v>125</v>
      </c>
    </row>
    <row r="59" spans="1:17" s="102" customFormat="1" ht="49.9" customHeight="1" x14ac:dyDescent="0.25">
      <c r="B59" s="102" t="s">
        <v>126</v>
      </c>
      <c r="C59" s="102" t="s">
        <v>131</v>
      </c>
      <c r="F59" s="102" t="s">
        <v>246</v>
      </c>
      <c r="G59" s="102" t="s">
        <v>149</v>
      </c>
      <c r="H59" s="102">
        <v>1</v>
      </c>
      <c r="I59" s="112">
        <v>759000</v>
      </c>
      <c r="J59" s="103">
        <v>44536</v>
      </c>
      <c r="K59" s="104">
        <f t="shared" si="0"/>
        <v>12</v>
      </c>
      <c r="L59" s="102" t="s">
        <v>121</v>
      </c>
      <c r="M59" s="105">
        <f>(J59+HLOOKUP(L59,Waranty!$A$1:$H$2,2,TRUE))</f>
        <v>44566</v>
      </c>
      <c r="O59" s="102" t="s">
        <v>123</v>
      </c>
      <c r="P59" s="141" t="s">
        <v>124</v>
      </c>
      <c r="Q59" s="142" t="s">
        <v>125</v>
      </c>
    </row>
    <row r="60" spans="1:17" s="102" customFormat="1" ht="49.9" customHeight="1" x14ac:dyDescent="0.25">
      <c r="B60" s="102" t="s">
        <v>147</v>
      </c>
      <c r="C60" s="102" t="s">
        <v>247</v>
      </c>
      <c r="F60" s="102" t="s">
        <v>248</v>
      </c>
      <c r="G60" s="102" t="s">
        <v>149</v>
      </c>
      <c r="H60" s="102">
        <v>1</v>
      </c>
      <c r="I60" s="112">
        <v>528000</v>
      </c>
      <c r="J60" s="103">
        <v>44538</v>
      </c>
      <c r="K60" s="104">
        <f t="shared" si="0"/>
        <v>12</v>
      </c>
      <c r="L60" s="102" t="s">
        <v>121</v>
      </c>
      <c r="M60" s="105">
        <f>(J60+HLOOKUP(L60,Waranty!$A$1:$H$2,2,TRUE))</f>
        <v>44568</v>
      </c>
      <c r="O60" s="102" t="s">
        <v>167</v>
      </c>
      <c r="P60" s="141" t="s">
        <v>124</v>
      </c>
      <c r="Q60" s="142" t="s">
        <v>125</v>
      </c>
    </row>
    <row r="61" spans="1:17" s="102" customFormat="1" ht="49.9" customHeight="1" x14ac:dyDescent="0.25">
      <c r="B61" s="102" t="s">
        <v>147</v>
      </c>
      <c r="C61" s="102" t="s">
        <v>247</v>
      </c>
      <c r="F61" s="102" t="s">
        <v>158</v>
      </c>
      <c r="G61" s="102" t="s">
        <v>158</v>
      </c>
      <c r="H61" s="102">
        <v>1</v>
      </c>
      <c r="I61" s="112">
        <v>528000</v>
      </c>
      <c r="J61" s="103">
        <v>44538</v>
      </c>
      <c r="K61" s="104">
        <f t="shared" si="0"/>
        <v>12</v>
      </c>
      <c r="L61" s="102" t="s">
        <v>121</v>
      </c>
      <c r="M61" s="105">
        <f>(J61+HLOOKUP(L61,Waranty!$A$1:$H$2,2,TRUE))</f>
        <v>44568</v>
      </c>
      <c r="O61" s="102" t="s">
        <v>167</v>
      </c>
      <c r="P61" s="141" t="s">
        <v>124</v>
      </c>
      <c r="Q61" s="142" t="s">
        <v>125</v>
      </c>
    </row>
    <row r="62" spans="1:17" s="102" customFormat="1" ht="49.9" customHeight="1" x14ac:dyDescent="0.25">
      <c r="B62" s="102" t="s">
        <v>116</v>
      </c>
      <c r="C62" s="102" t="s">
        <v>138</v>
      </c>
      <c r="F62" s="102" t="s">
        <v>239</v>
      </c>
      <c r="G62" s="102" t="s">
        <v>240</v>
      </c>
      <c r="H62" s="102">
        <v>1</v>
      </c>
      <c r="I62" s="112">
        <v>528000</v>
      </c>
      <c r="J62" s="103">
        <v>44538</v>
      </c>
      <c r="K62" s="104">
        <f t="shared" si="0"/>
        <v>12</v>
      </c>
      <c r="L62" s="102" t="s">
        <v>121</v>
      </c>
      <c r="M62" s="105">
        <f>(J62+HLOOKUP(L62,Waranty!$A$1:$H$2,2,TRUE))</f>
        <v>44568</v>
      </c>
      <c r="O62" s="102" t="s">
        <v>167</v>
      </c>
      <c r="P62" s="141" t="s">
        <v>124</v>
      </c>
      <c r="Q62" s="142" t="s">
        <v>125</v>
      </c>
    </row>
    <row r="63" spans="1:17" s="102" customFormat="1" ht="49.9" customHeight="1" x14ac:dyDescent="0.25">
      <c r="B63" s="102" t="s">
        <v>116</v>
      </c>
      <c r="C63" s="102" t="s">
        <v>155</v>
      </c>
      <c r="F63" s="102" t="s">
        <v>225</v>
      </c>
      <c r="G63" s="102" t="s">
        <v>226</v>
      </c>
      <c r="H63" s="102">
        <v>1</v>
      </c>
      <c r="I63" s="112">
        <v>638000</v>
      </c>
      <c r="J63" s="103">
        <v>44538</v>
      </c>
      <c r="K63" s="104">
        <f t="shared" si="0"/>
        <v>12</v>
      </c>
      <c r="L63" s="102" t="s">
        <v>121</v>
      </c>
      <c r="M63" s="105">
        <f>(J63+HLOOKUP(L63,Waranty!$A$1:$H$2,2,TRUE))</f>
        <v>44568</v>
      </c>
      <c r="N63" s="102" t="s">
        <v>122</v>
      </c>
      <c r="O63" s="102" t="s">
        <v>167</v>
      </c>
      <c r="P63" s="141" t="s">
        <v>124</v>
      </c>
      <c r="Q63" s="142" t="s">
        <v>125</v>
      </c>
    </row>
    <row r="64" spans="1:17" s="102" customFormat="1" ht="49.9" customHeight="1" x14ac:dyDescent="0.25">
      <c r="B64" s="102" t="s">
        <v>126</v>
      </c>
      <c r="C64" s="102" t="s">
        <v>131</v>
      </c>
      <c r="F64" s="102" t="s">
        <v>249</v>
      </c>
      <c r="G64" s="102" t="s">
        <v>140</v>
      </c>
      <c r="H64" s="102">
        <v>1</v>
      </c>
      <c r="I64" s="112">
        <v>759000</v>
      </c>
      <c r="J64" s="103">
        <v>44538</v>
      </c>
      <c r="K64" s="104">
        <f t="shared" si="0"/>
        <v>12</v>
      </c>
      <c r="L64" s="102" t="s">
        <v>121</v>
      </c>
      <c r="M64" s="105">
        <f>(J64+HLOOKUP(L64,Waranty!$A$1:$H$2,2,TRUE))</f>
        <v>44568</v>
      </c>
      <c r="O64" s="102" t="s">
        <v>123</v>
      </c>
      <c r="P64" s="141" t="s">
        <v>124</v>
      </c>
      <c r="Q64" s="142" t="s">
        <v>125</v>
      </c>
    </row>
    <row r="65" spans="2:17" s="102" customFormat="1" ht="49.9" customHeight="1" x14ac:dyDescent="0.25">
      <c r="B65" s="102" t="s">
        <v>250</v>
      </c>
      <c r="E65" s="102" t="s">
        <v>251</v>
      </c>
      <c r="F65" s="102" t="s">
        <v>158</v>
      </c>
      <c r="G65" s="102" t="s">
        <v>226</v>
      </c>
      <c r="H65" s="102">
        <v>1</v>
      </c>
      <c r="I65" s="112">
        <v>8580000</v>
      </c>
      <c r="J65" s="103">
        <v>44538</v>
      </c>
      <c r="K65" s="104">
        <f t="shared" ref="K65:K126" si="1">MONTH(J65)</f>
        <v>12</v>
      </c>
      <c r="L65" s="102" t="s">
        <v>121</v>
      </c>
      <c r="M65" s="105">
        <f>(J65+HLOOKUP(L65,Waranty!$A$1:$H$2,2,TRUE))</f>
        <v>44568</v>
      </c>
      <c r="N65" s="102" t="s">
        <v>122</v>
      </c>
      <c r="O65" s="102" t="s">
        <v>167</v>
      </c>
      <c r="P65" s="141" t="s">
        <v>124</v>
      </c>
      <c r="Q65" s="142" t="s">
        <v>125</v>
      </c>
    </row>
    <row r="66" spans="2:17" s="102" customFormat="1" ht="49.9" customHeight="1" x14ac:dyDescent="0.25">
      <c r="B66" s="102" t="s">
        <v>211</v>
      </c>
      <c r="C66" s="102" t="s">
        <v>155</v>
      </c>
      <c r="F66" s="102" t="s">
        <v>252</v>
      </c>
      <c r="G66" s="102" t="s">
        <v>226</v>
      </c>
      <c r="H66" s="102">
        <v>1</v>
      </c>
      <c r="I66" s="112">
        <v>1210000</v>
      </c>
      <c r="J66" s="105">
        <v>44543</v>
      </c>
      <c r="K66" s="104">
        <f t="shared" si="1"/>
        <v>12</v>
      </c>
      <c r="L66" s="102" t="s">
        <v>135</v>
      </c>
      <c r="M66" s="105">
        <f>(J66+HLOOKUP(L66,Waranty!$A$1:$H$2,2,TRUE))</f>
        <v>44723</v>
      </c>
      <c r="N66" s="102" t="s">
        <v>215</v>
      </c>
      <c r="O66" s="102" t="s">
        <v>210</v>
      </c>
      <c r="P66" s="141" t="s">
        <v>124</v>
      </c>
      <c r="Q66" s="142" t="s">
        <v>125</v>
      </c>
    </row>
    <row r="67" spans="2:17" s="102" customFormat="1" ht="49.9" customHeight="1" x14ac:dyDescent="0.25">
      <c r="B67" s="102" t="s">
        <v>126</v>
      </c>
      <c r="C67" s="102" t="s">
        <v>155</v>
      </c>
      <c r="F67" s="102" t="s">
        <v>253</v>
      </c>
      <c r="G67" s="102" t="s">
        <v>191</v>
      </c>
      <c r="H67" s="102">
        <v>1</v>
      </c>
      <c r="I67" s="112">
        <v>1320000</v>
      </c>
      <c r="J67" s="105">
        <v>44543</v>
      </c>
      <c r="K67" s="104">
        <f t="shared" si="1"/>
        <v>12</v>
      </c>
      <c r="L67" s="102" t="s">
        <v>121</v>
      </c>
      <c r="M67" s="105">
        <f>(J67+HLOOKUP(L67,Waranty!$A$1:$H$2,2,TRUE))</f>
        <v>44573</v>
      </c>
      <c r="O67" s="102" t="s">
        <v>210</v>
      </c>
      <c r="P67" s="141" t="s">
        <v>124</v>
      </c>
      <c r="Q67" s="142" t="s">
        <v>125</v>
      </c>
    </row>
    <row r="68" spans="2:17" s="102" customFormat="1" ht="49.9" customHeight="1" x14ac:dyDescent="0.25">
      <c r="B68" s="102" t="s">
        <v>211</v>
      </c>
      <c r="C68" s="102" t="s">
        <v>117</v>
      </c>
      <c r="F68" s="102" t="s">
        <v>254</v>
      </c>
      <c r="G68" s="102" t="s">
        <v>140</v>
      </c>
      <c r="H68" s="102">
        <v>1</v>
      </c>
      <c r="I68" s="112">
        <v>660000</v>
      </c>
      <c r="J68" s="105">
        <v>44543</v>
      </c>
      <c r="K68" s="104">
        <f t="shared" si="1"/>
        <v>12</v>
      </c>
      <c r="L68" s="102" t="s">
        <v>159</v>
      </c>
      <c r="M68" s="105">
        <f>(J68+HLOOKUP(L68,Waranty!$A$1:$H$2,2,TRUE))</f>
        <v>44573</v>
      </c>
      <c r="N68" s="102" t="s">
        <v>215</v>
      </c>
      <c r="O68" s="102" t="s">
        <v>123</v>
      </c>
      <c r="P68" s="141" t="s">
        <v>124</v>
      </c>
      <c r="Q68" s="142" t="s">
        <v>125</v>
      </c>
    </row>
    <row r="69" spans="2:17" s="102" customFormat="1" ht="49.9" customHeight="1" x14ac:dyDescent="0.25">
      <c r="B69" s="102" t="s">
        <v>126</v>
      </c>
      <c r="C69" s="102" t="s">
        <v>255</v>
      </c>
      <c r="F69" s="102" t="s">
        <v>237</v>
      </c>
      <c r="G69" s="102" t="s">
        <v>234</v>
      </c>
      <c r="H69" s="102">
        <v>1</v>
      </c>
      <c r="I69" s="112">
        <v>1540000</v>
      </c>
      <c r="J69" s="105">
        <v>44544</v>
      </c>
      <c r="K69" s="104">
        <f t="shared" si="1"/>
        <v>12</v>
      </c>
      <c r="L69" s="102" t="s">
        <v>121</v>
      </c>
      <c r="M69" s="105">
        <f>(J69+HLOOKUP(L69,Waranty!$A$1:$H$2,2,TRUE))</f>
        <v>44574</v>
      </c>
      <c r="O69" s="102" t="s">
        <v>167</v>
      </c>
      <c r="P69" s="141" t="s">
        <v>124</v>
      </c>
      <c r="Q69" s="142" t="s">
        <v>125</v>
      </c>
    </row>
    <row r="70" spans="2:17" s="102" customFormat="1" ht="49.9" customHeight="1" x14ac:dyDescent="0.25">
      <c r="B70" s="102" t="s">
        <v>188</v>
      </c>
      <c r="E70" s="102" t="s">
        <v>205</v>
      </c>
      <c r="F70" s="102" t="s">
        <v>256</v>
      </c>
      <c r="G70" s="102" t="s">
        <v>226</v>
      </c>
      <c r="H70" s="102">
        <v>1</v>
      </c>
      <c r="I70" s="112">
        <v>330000</v>
      </c>
      <c r="J70" s="105">
        <v>44545</v>
      </c>
      <c r="K70" s="104">
        <f t="shared" si="1"/>
        <v>12</v>
      </c>
      <c r="L70" s="102" t="s">
        <v>121</v>
      </c>
      <c r="M70" s="105">
        <f>(J70+HLOOKUP(L70,Waranty!$A$1:$H$2,2,TRUE))</f>
        <v>44575</v>
      </c>
      <c r="N70" s="102" t="s">
        <v>122</v>
      </c>
      <c r="O70" s="102" t="s">
        <v>123</v>
      </c>
      <c r="P70" s="141" t="s">
        <v>124</v>
      </c>
      <c r="Q70" s="142" t="s">
        <v>125</v>
      </c>
    </row>
    <row r="71" spans="2:17" s="102" customFormat="1" ht="49.9" customHeight="1" x14ac:dyDescent="0.25">
      <c r="B71" s="102" t="s">
        <v>188</v>
      </c>
      <c r="E71" s="102" t="s">
        <v>205</v>
      </c>
      <c r="F71" s="102" t="s">
        <v>257</v>
      </c>
      <c r="G71" s="102" t="s">
        <v>195</v>
      </c>
      <c r="H71" s="102">
        <v>1</v>
      </c>
      <c r="I71" s="112">
        <v>330000</v>
      </c>
      <c r="J71" s="105">
        <v>44545</v>
      </c>
      <c r="K71" s="104">
        <f t="shared" si="1"/>
        <v>12</v>
      </c>
      <c r="L71" s="102" t="s">
        <v>121</v>
      </c>
      <c r="M71" s="105">
        <f>(J71+HLOOKUP(L71,Waranty!$A$1:$H$2,2,TRUE))</f>
        <v>44575</v>
      </c>
      <c r="N71" s="102" t="s">
        <v>122</v>
      </c>
      <c r="O71" s="102" t="s">
        <v>123</v>
      </c>
      <c r="P71" s="141" t="s">
        <v>124</v>
      </c>
      <c r="Q71" s="142" t="s">
        <v>125</v>
      </c>
    </row>
    <row r="72" spans="2:17" s="102" customFormat="1" ht="87" customHeight="1" x14ac:dyDescent="0.25">
      <c r="B72" s="102" t="s">
        <v>126</v>
      </c>
      <c r="C72" s="102" t="s">
        <v>155</v>
      </c>
      <c r="F72" s="102" t="s">
        <v>258</v>
      </c>
      <c r="G72" s="102" t="s">
        <v>134</v>
      </c>
      <c r="H72" s="102">
        <v>1</v>
      </c>
      <c r="I72" s="112">
        <v>1210000</v>
      </c>
      <c r="J72" s="126">
        <v>44546</v>
      </c>
      <c r="K72" s="104">
        <f t="shared" si="1"/>
        <v>12</v>
      </c>
      <c r="L72" s="102" t="s">
        <v>121</v>
      </c>
      <c r="M72" s="105">
        <f>(J72+HLOOKUP(L72,Waranty!$A$1:$H$2,2,TRUE))</f>
        <v>44576</v>
      </c>
      <c r="N72" s="102" t="s">
        <v>122</v>
      </c>
      <c r="O72" s="102" t="s">
        <v>210</v>
      </c>
      <c r="P72" s="141" t="s">
        <v>124</v>
      </c>
      <c r="Q72" s="142" t="s">
        <v>125</v>
      </c>
    </row>
    <row r="73" spans="2:17" s="102" customFormat="1" ht="49.9" customHeight="1" x14ac:dyDescent="0.25">
      <c r="B73" s="102" t="s">
        <v>188</v>
      </c>
      <c r="E73" s="102" t="s">
        <v>259</v>
      </c>
      <c r="F73" s="102" t="s">
        <v>246</v>
      </c>
      <c r="G73" s="102" t="s">
        <v>149</v>
      </c>
      <c r="H73" s="102">
        <v>1</v>
      </c>
      <c r="I73" s="112">
        <v>192500</v>
      </c>
      <c r="J73" s="105">
        <v>44546</v>
      </c>
      <c r="K73" s="104">
        <f t="shared" si="1"/>
        <v>12</v>
      </c>
      <c r="L73" s="102" t="s">
        <v>121</v>
      </c>
      <c r="M73" s="105">
        <f>(J73+HLOOKUP(L73,Waranty!$A$1:$H$2,2,TRUE))</f>
        <v>44576</v>
      </c>
      <c r="O73" s="102" t="s">
        <v>123</v>
      </c>
      <c r="P73" s="141" t="s">
        <v>124</v>
      </c>
      <c r="Q73" s="142" t="s">
        <v>125</v>
      </c>
    </row>
    <row r="74" spans="2:17" s="102" customFormat="1" ht="87" customHeight="1" x14ac:dyDescent="0.25">
      <c r="B74" s="102" t="s">
        <v>188</v>
      </c>
      <c r="E74" s="102" t="s">
        <v>259</v>
      </c>
      <c r="F74" s="102" t="s">
        <v>260</v>
      </c>
      <c r="G74" s="102" t="s">
        <v>134</v>
      </c>
      <c r="H74" s="102">
        <v>1</v>
      </c>
      <c r="I74" s="112">
        <v>192500</v>
      </c>
      <c r="J74" s="126">
        <v>44546</v>
      </c>
      <c r="K74" s="104">
        <f t="shared" si="1"/>
        <v>12</v>
      </c>
      <c r="L74" s="102" t="s">
        <v>121</v>
      </c>
      <c r="M74" s="105">
        <f>(J74+HLOOKUP(L74,Waranty!$A$1:$H$2,2,TRUE))</f>
        <v>44576</v>
      </c>
      <c r="O74" s="102" t="s">
        <v>123</v>
      </c>
      <c r="P74" s="141" t="s">
        <v>124</v>
      </c>
      <c r="Q74" s="142" t="s">
        <v>125</v>
      </c>
    </row>
    <row r="75" spans="2:17" s="102" customFormat="1" ht="49.9" customHeight="1" x14ac:dyDescent="0.25">
      <c r="B75" s="102" t="s">
        <v>188</v>
      </c>
      <c r="E75" s="102" t="s">
        <v>259</v>
      </c>
      <c r="F75" s="102" t="s">
        <v>261</v>
      </c>
      <c r="G75" s="102" t="s">
        <v>226</v>
      </c>
      <c r="H75" s="102">
        <v>1</v>
      </c>
      <c r="I75" s="112">
        <v>192500</v>
      </c>
      <c r="J75" s="105">
        <v>44546</v>
      </c>
      <c r="K75" s="104">
        <f t="shared" si="1"/>
        <v>12</v>
      </c>
      <c r="L75" s="102" t="s">
        <v>121</v>
      </c>
      <c r="M75" s="105">
        <f>(J75+HLOOKUP(L75,Waranty!$A$1:$H$2,2,TRUE))</f>
        <v>44576</v>
      </c>
      <c r="N75" s="102" t="s">
        <v>122</v>
      </c>
      <c r="O75" s="102" t="s">
        <v>123</v>
      </c>
      <c r="P75" s="141" t="s">
        <v>124</v>
      </c>
      <c r="Q75" s="142" t="s">
        <v>125</v>
      </c>
    </row>
    <row r="76" spans="2:17" s="102" customFormat="1" ht="49.9" customHeight="1" x14ac:dyDescent="0.25">
      <c r="B76" s="102" t="s">
        <v>188</v>
      </c>
      <c r="E76" s="102" t="s">
        <v>259</v>
      </c>
      <c r="F76" s="102" t="s">
        <v>262</v>
      </c>
      <c r="G76" s="102" t="s">
        <v>146</v>
      </c>
      <c r="H76" s="102">
        <v>1</v>
      </c>
      <c r="I76" s="112">
        <v>192500</v>
      </c>
      <c r="J76" s="105">
        <v>44546</v>
      </c>
      <c r="K76" s="104">
        <f t="shared" si="1"/>
        <v>12</v>
      </c>
      <c r="L76" s="102" t="s">
        <v>121</v>
      </c>
      <c r="M76" s="105">
        <f>(J76+HLOOKUP(L76,Waranty!$A$1:$H$2,2,TRUE))</f>
        <v>44576</v>
      </c>
      <c r="O76" s="102" t="s">
        <v>123</v>
      </c>
      <c r="P76" s="141" t="s">
        <v>124</v>
      </c>
      <c r="Q76" s="142" t="s">
        <v>125</v>
      </c>
    </row>
    <row r="77" spans="2:17" s="102" customFormat="1" ht="49.9" customHeight="1" x14ac:dyDescent="0.25">
      <c r="B77" s="102" t="s">
        <v>188</v>
      </c>
      <c r="E77" s="102" t="s">
        <v>259</v>
      </c>
      <c r="F77" s="102" t="s">
        <v>263</v>
      </c>
      <c r="G77" s="102" t="s">
        <v>234</v>
      </c>
      <c r="H77" s="102">
        <v>1</v>
      </c>
      <c r="I77" s="112">
        <v>192500</v>
      </c>
      <c r="J77" s="105">
        <v>44546</v>
      </c>
      <c r="K77" s="104">
        <f t="shared" si="1"/>
        <v>12</v>
      </c>
      <c r="L77" s="102" t="s">
        <v>121</v>
      </c>
      <c r="M77" s="105">
        <f>(J77+HLOOKUP(L77,Waranty!$A$1:$H$2,2,TRUE))</f>
        <v>44576</v>
      </c>
      <c r="O77" s="102" t="s">
        <v>123</v>
      </c>
      <c r="P77" s="141" t="s">
        <v>124</v>
      </c>
      <c r="Q77" s="142" t="s">
        <v>125</v>
      </c>
    </row>
    <row r="78" spans="2:17" s="102" customFormat="1" ht="49.9" customHeight="1" x14ac:dyDescent="0.25">
      <c r="B78" s="102" t="s">
        <v>211</v>
      </c>
      <c r="C78" s="102" t="s">
        <v>117</v>
      </c>
      <c r="F78" s="102" t="s">
        <v>254</v>
      </c>
      <c r="G78" s="102" t="s">
        <v>140</v>
      </c>
      <c r="H78" s="102">
        <v>1</v>
      </c>
      <c r="I78" s="112">
        <v>660000</v>
      </c>
      <c r="J78" s="105">
        <v>44546</v>
      </c>
      <c r="K78" s="104">
        <f t="shared" si="1"/>
        <v>12</v>
      </c>
      <c r="L78" s="102" t="s">
        <v>214</v>
      </c>
      <c r="M78" s="105">
        <f>(J78+HLOOKUP(L78,Waranty!$A$1:$H$2,2,TRUE))</f>
        <v>44636</v>
      </c>
      <c r="N78" s="102" t="s">
        <v>215</v>
      </c>
      <c r="O78" s="102" t="s">
        <v>123</v>
      </c>
      <c r="P78" s="141" t="s">
        <v>124</v>
      </c>
      <c r="Q78" s="142" t="s">
        <v>125</v>
      </c>
    </row>
    <row r="79" spans="2:17" s="102" customFormat="1" ht="49.9" customHeight="1" x14ac:dyDescent="0.25">
      <c r="B79" s="102" t="s">
        <v>264</v>
      </c>
      <c r="E79" s="102" t="s">
        <v>265</v>
      </c>
      <c r="F79" s="102" t="s">
        <v>266</v>
      </c>
      <c r="G79" s="102" t="s">
        <v>158</v>
      </c>
      <c r="H79" s="102">
        <v>16</v>
      </c>
      <c r="I79" s="112">
        <v>8800000</v>
      </c>
      <c r="J79" s="105">
        <v>44547</v>
      </c>
      <c r="K79" s="104">
        <f t="shared" si="1"/>
        <v>12</v>
      </c>
      <c r="L79" s="102" t="s">
        <v>121</v>
      </c>
      <c r="M79" s="105">
        <f>(J79+HLOOKUP(L79,Waranty!$A$1:$H$2,2,TRUE))</f>
        <v>44577</v>
      </c>
      <c r="O79" s="102" t="s">
        <v>123</v>
      </c>
      <c r="P79" s="141" t="s">
        <v>162</v>
      </c>
      <c r="Q79" s="144" t="s">
        <v>267</v>
      </c>
    </row>
    <row r="80" spans="2:17" s="102" customFormat="1" ht="49.9" customHeight="1" x14ac:dyDescent="0.25">
      <c r="B80" s="102" t="s">
        <v>116</v>
      </c>
      <c r="C80" s="148" t="s">
        <v>268</v>
      </c>
      <c r="F80" s="102" t="s">
        <v>269</v>
      </c>
      <c r="G80" s="102" t="s">
        <v>240</v>
      </c>
      <c r="H80" s="102">
        <v>1</v>
      </c>
      <c r="I80" s="112">
        <v>1430000</v>
      </c>
      <c r="J80" s="105">
        <v>44550</v>
      </c>
      <c r="K80" s="104">
        <f t="shared" si="1"/>
        <v>12</v>
      </c>
      <c r="L80" s="102" t="s">
        <v>121</v>
      </c>
      <c r="M80" s="105">
        <f>(J80+HLOOKUP(L80,Waranty!$A$1:$H$2,2,TRUE))</f>
        <v>44580</v>
      </c>
      <c r="O80" s="102" t="s">
        <v>210</v>
      </c>
      <c r="P80" s="141" t="s">
        <v>124</v>
      </c>
      <c r="Q80" s="142" t="s">
        <v>125</v>
      </c>
    </row>
    <row r="81" spans="1:17" s="102" customFormat="1" ht="49.9" customHeight="1" x14ac:dyDescent="0.25">
      <c r="B81" s="102" t="s">
        <v>116</v>
      </c>
      <c r="C81" s="102" t="s">
        <v>270</v>
      </c>
      <c r="F81" s="102" t="s">
        <v>271</v>
      </c>
      <c r="G81" s="102" t="s">
        <v>272</v>
      </c>
      <c r="H81" s="102">
        <v>1</v>
      </c>
      <c r="I81" s="112">
        <v>1430000</v>
      </c>
      <c r="J81" s="105">
        <v>44550</v>
      </c>
      <c r="K81" s="104">
        <f t="shared" si="1"/>
        <v>12</v>
      </c>
      <c r="L81" s="102" t="s">
        <v>121</v>
      </c>
      <c r="M81" s="105">
        <f>(J81+HLOOKUP(L81,Waranty!$A$1:$H$2,2,TRUE))</f>
        <v>44580</v>
      </c>
      <c r="O81" s="102" t="s">
        <v>210</v>
      </c>
      <c r="P81" s="141" t="s">
        <v>124</v>
      </c>
      <c r="Q81" s="142" t="s">
        <v>125</v>
      </c>
    </row>
    <row r="82" spans="1:17" s="102" customFormat="1" ht="49.9" customHeight="1" x14ac:dyDescent="0.25">
      <c r="B82" s="102" t="s">
        <v>126</v>
      </c>
      <c r="C82" s="102" t="s">
        <v>155</v>
      </c>
      <c r="F82" s="102" t="s">
        <v>273</v>
      </c>
      <c r="G82" s="102" t="s">
        <v>137</v>
      </c>
      <c r="H82" s="102">
        <v>1</v>
      </c>
      <c r="I82" s="112">
        <v>1375000</v>
      </c>
      <c r="J82" s="105">
        <v>44551</v>
      </c>
      <c r="K82" s="104">
        <f t="shared" si="1"/>
        <v>12</v>
      </c>
      <c r="L82" s="102" t="s">
        <v>121</v>
      </c>
      <c r="M82" s="105">
        <f>(J82+HLOOKUP(L82,Waranty!$A$1:$H$2,2,TRUE))</f>
        <v>44581</v>
      </c>
      <c r="N82" s="102" t="s">
        <v>122</v>
      </c>
      <c r="O82" s="102" t="s">
        <v>167</v>
      </c>
      <c r="P82" s="141" t="s">
        <v>124</v>
      </c>
      <c r="Q82" s="142" t="s">
        <v>125</v>
      </c>
    </row>
    <row r="83" spans="1:17" s="102" customFormat="1" ht="49.9" customHeight="1" x14ac:dyDescent="0.25">
      <c r="B83" s="102" t="s">
        <v>126</v>
      </c>
      <c r="C83" s="102" t="s">
        <v>155</v>
      </c>
      <c r="F83" s="102" t="s">
        <v>274</v>
      </c>
      <c r="G83" s="102" t="s">
        <v>149</v>
      </c>
      <c r="H83" s="102">
        <v>1</v>
      </c>
      <c r="I83" s="112">
        <v>1375000</v>
      </c>
      <c r="J83" s="105">
        <v>44551</v>
      </c>
      <c r="K83" s="104">
        <f t="shared" si="1"/>
        <v>12</v>
      </c>
      <c r="L83" s="102" t="s">
        <v>121</v>
      </c>
      <c r="M83" s="105">
        <f>(J83+HLOOKUP(L83,Waranty!$A$1:$H$2,2,TRUE))</f>
        <v>44581</v>
      </c>
      <c r="O83" s="102" t="s">
        <v>167</v>
      </c>
      <c r="P83" s="141" t="s">
        <v>124</v>
      </c>
      <c r="Q83" s="142" t="s">
        <v>125</v>
      </c>
    </row>
    <row r="84" spans="1:17" s="102" customFormat="1" ht="49.9" customHeight="1" x14ac:dyDescent="0.25">
      <c r="B84" s="102" t="s">
        <v>116</v>
      </c>
      <c r="C84" s="102" t="s">
        <v>138</v>
      </c>
      <c r="F84" s="102" t="s">
        <v>275</v>
      </c>
      <c r="G84" s="102" t="s">
        <v>240</v>
      </c>
      <c r="H84" s="102">
        <v>1</v>
      </c>
      <c r="I84" s="112">
        <v>528000</v>
      </c>
      <c r="J84" s="105">
        <v>44551</v>
      </c>
      <c r="K84" s="104">
        <f t="shared" si="1"/>
        <v>12</v>
      </c>
      <c r="L84" s="102" t="s">
        <v>121</v>
      </c>
      <c r="M84" s="105">
        <f>(J84+HLOOKUP(L84,Waranty!$A$1:$H$2,2,TRUE))</f>
        <v>44581</v>
      </c>
      <c r="O84" s="102" t="s">
        <v>167</v>
      </c>
      <c r="P84" s="141" t="s">
        <v>124</v>
      </c>
      <c r="Q84" s="142" t="s">
        <v>125</v>
      </c>
    </row>
    <row r="85" spans="1:17" s="102" customFormat="1" ht="87" customHeight="1" x14ac:dyDescent="0.25">
      <c r="B85" s="102" t="s">
        <v>126</v>
      </c>
      <c r="C85" s="102" t="s">
        <v>155</v>
      </c>
      <c r="F85" s="102" t="s">
        <v>276</v>
      </c>
      <c r="G85" s="102" t="s">
        <v>134</v>
      </c>
      <c r="H85" s="102">
        <v>1</v>
      </c>
      <c r="I85" s="112">
        <v>1397000</v>
      </c>
      <c r="J85" s="126">
        <v>44551</v>
      </c>
      <c r="K85" s="104">
        <f t="shared" si="1"/>
        <v>12</v>
      </c>
      <c r="L85" s="102" t="s">
        <v>121</v>
      </c>
      <c r="M85" s="105">
        <f>(J85+HLOOKUP(L85,Waranty!$A$1:$H$2,2,TRUE))</f>
        <v>44581</v>
      </c>
      <c r="N85" s="102" t="s">
        <v>122</v>
      </c>
      <c r="O85" s="102" t="s">
        <v>123</v>
      </c>
      <c r="P85" s="141" t="s">
        <v>124</v>
      </c>
      <c r="Q85" s="142" t="s">
        <v>125</v>
      </c>
    </row>
    <row r="86" spans="1:17" s="102" customFormat="1" ht="49.9" customHeight="1" x14ac:dyDescent="0.25">
      <c r="B86" s="102" t="s">
        <v>116</v>
      </c>
      <c r="C86" s="102" t="s">
        <v>144</v>
      </c>
      <c r="F86" s="102" t="s">
        <v>277</v>
      </c>
      <c r="G86" s="102" t="s">
        <v>219</v>
      </c>
      <c r="H86" s="102">
        <v>1</v>
      </c>
      <c r="I86" s="112">
        <v>484000</v>
      </c>
      <c r="J86" s="105">
        <v>44551</v>
      </c>
      <c r="K86" s="104">
        <f t="shared" si="1"/>
        <v>12</v>
      </c>
      <c r="L86" s="102" t="s">
        <v>121</v>
      </c>
      <c r="M86" s="105">
        <f>(J86+HLOOKUP(L86,Waranty!$A$1:$H$2,2,TRUE))</f>
        <v>44581</v>
      </c>
      <c r="N86" s="102" t="s">
        <v>122</v>
      </c>
      <c r="O86" s="102" t="s">
        <v>123</v>
      </c>
      <c r="P86" s="141" t="s">
        <v>124</v>
      </c>
      <c r="Q86" s="142" t="s">
        <v>125</v>
      </c>
    </row>
    <row r="87" spans="1:17" s="102" customFormat="1" ht="49.9" customHeight="1" x14ac:dyDescent="0.25">
      <c r="B87" s="102" t="s">
        <v>126</v>
      </c>
      <c r="C87" s="102" t="s">
        <v>131</v>
      </c>
      <c r="F87" s="102" t="s">
        <v>278</v>
      </c>
      <c r="G87" s="102" t="s">
        <v>146</v>
      </c>
      <c r="H87" s="102">
        <v>1</v>
      </c>
      <c r="I87" s="112">
        <v>759000</v>
      </c>
      <c r="J87" s="103">
        <v>44557</v>
      </c>
      <c r="K87" s="104">
        <f t="shared" si="1"/>
        <v>12</v>
      </c>
      <c r="L87" s="102" t="s">
        <v>121</v>
      </c>
      <c r="M87" s="105">
        <f>(J87+HLOOKUP(L87,Waranty!$A$1:$H$2,2,TRUE))</f>
        <v>44587</v>
      </c>
      <c r="O87" s="102" t="s">
        <v>123</v>
      </c>
      <c r="P87" s="141" t="s">
        <v>124</v>
      </c>
      <c r="Q87" s="142" t="s">
        <v>125</v>
      </c>
    </row>
    <row r="88" spans="1:17" s="102" customFormat="1" ht="49.9" customHeight="1" x14ac:dyDescent="0.25">
      <c r="B88" s="102" t="s">
        <v>264</v>
      </c>
      <c r="F88" s="102" t="s">
        <v>279</v>
      </c>
      <c r="G88" s="102" t="s">
        <v>158</v>
      </c>
      <c r="H88" s="102">
        <v>6</v>
      </c>
      <c r="I88" s="112">
        <v>3300000</v>
      </c>
      <c r="J88" s="105">
        <v>44555</v>
      </c>
      <c r="K88" s="104">
        <f t="shared" si="1"/>
        <v>12</v>
      </c>
      <c r="L88" s="102" t="s">
        <v>121</v>
      </c>
      <c r="M88" s="105">
        <f>(J88+HLOOKUP(L88,Waranty!$A$1:$H$2,2,TRUE))</f>
        <v>44585</v>
      </c>
      <c r="O88" s="102" t="s">
        <v>123</v>
      </c>
      <c r="P88" s="141" t="s">
        <v>162</v>
      </c>
      <c r="Q88" s="144" t="s">
        <v>267</v>
      </c>
    </row>
    <row r="89" spans="1:17" s="102" customFormat="1" ht="49.9" customHeight="1" x14ac:dyDescent="0.25">
      <c r="B89" s="102" t="s">
        <v>264</v>
      </c>
      <c r="F89" s="102" t="s">
        <v>158</v>
      </c>
      <c r="G89" s="102" t="s">
        <v>158</v>
      </c>
      <c r="H89" s="102">
        <v>2</v>
      </c>
      <c r="I89" s="112">
        <v>660000</v>
      </c>
      <c r="J89" s="105">
        <v>44920</v>
      </c>
      <c r="K89" s="104">
        <f t="shared" si="1"/>
        <v>12</v>
      </c>
      <c r="L89" s="102" t="s">
        <v>159</v>
      </c>
      <c r="M89" s="105">
        <f>(J89+HLOOKUP(L89,Waranty!$A$1:$H$2,2,TRUE))</f>
        <v>44950</v>
      </c>
      <c r="O89" s="102" t="s">
        <v>123</v>
      </c>
      <c r="P89" s="141" t="s">
        <v>162</v>
      </c>
      <c r="Q89" s="144" t="s">
        <v>267</v>
      </c>
    </row>
    <row r="90" spans="1:17" s="102" customFormat="1" ht="49.9" customHeight="1" x14ac:dyDescent="0.25">
      <c r="B90" s="102" t="s">
        <v>126</v>
      </c>
      <c r="C90" s="102" t="s">
        <v>155</v>
      </c>
      <c r="F90" s="102" t="s">
        <v>280</v>
      </c>
      <c r="G90" s="102" t="s">
        <v>120</v>
      </c>
      <c r="H90" s="102">
        <v>1</v>
      </c>
      <c r="I90" s="112">
        <v>1397000</v>
      </c>
      <c r="J90" s="105">
        <v>44560</v>
      </c>
      <c r="K90" s="104">
        <f t="shared" si="1"/>
        <v>12</v>
      </c>
      <c r="L90" s="102" t="s">
        <v>121</v>
      </c>
      <c r="M90" s="105">
        <f>(J90+HLOOKUP(L90,Waranty!$A$1:$H$2,2,TRUE))</f>
        <v>44590</v>
      </c>
      <c r="N90" s="102" t="s">
        <v>122</v>
      </c>
      <c r="O90" s="102" t="s">
        <v>123</v>
      </c>
      <c r="P90" s="141" t="s">
        <v>124</v>
      </c>
      <c r="Q90" s="142" t="s">
        <v>125</v>
      </c>
    </row>
    <row r="91" spans="1:17" s="102" customFormat="1" ht="87" customHeight="1" x14ac:dyDescent="0.25">
      <c r="B91" s="102" t="s">
        <v>126</v>
      </c>
      <c r="C91" s="102" t="s">
        <v>131</v>
      </c>
      <c r="F91" s="102" t="s">
        <v>281</v>
      </c>
      <c r="G91" s="102" t="s">
        <v>134</v>
      </c>
      <c r="H91" s="102">
        <v>1</v>
      </c>
      <c r="I91" s="112">
        <v>759000</v>
      </c>
      <c r="J91" s="126">
        <v>44560</v>
      </c>
      <c r="K91" s="104">
        <f t="shared" si="1"/>
        <v>12</v>
      </c>
      <c r="L91" s="102" t="s">
        <v>121</v>
      </c>
      <c r="M91" s="105">
        <f>(J91+HLOOKUP(L91,Waranty!$A$1:$H$2,2,TRUE))</f>
        <v>44590</v>
      </c>
      <c r="N91" s="102" t="s">
        <v>122</v>
      </c>
      <c r="O91" s="102" t="s">
        <v>123</v>
      </c>
      <c r="P91" s="141" t="s">
        <v>124</v>
      </c>
      <c r="Q91" s="142" t="s">
        <v>125</v>
      </c>
    </row>
    <row r="92" spans="1:17" s="102" customFormat="1" ht="87" customHeight="1" x14ac:dyDescent="0.25">
      <c r="B92" s="102" t="s">
        <v>147</v>
      </c>
      <c r="C92" s="102" t="s">
        <v>155</v>
      </c>
      <c r="F92" s="102" t="s">
        <v>282</v>
      </c>
      <c r="G92" s="102" t="s">
        <v>134</v>
      </c>
      <c r="H92" s="102">
        <v>1</v>
      </c>
      <c r="I92" s="112">
        <v>605000</v>
      </c>
      <c r="J92" s="126">
        <v>44560</v>
      </c>
      <c r="K92" s="104">
        <f t="shared" si="1"/>
        <v>12</v>
      </c>
      <c r="L92" s="102" t="s">
        <v>121</v>
      </c>
      <c r="M92" s="105">
        <f>(J92+HLOOKUP(L92,Waranty!$A$1:$H$2,2,TRUE))</f>
        <v>44590</v>
      </c>
      <c r="N92" s="102" t="s">
        <v>122</v>
      </c>
      <c r="O92" s="102" t="s">
        <v>123</v>
      </c>
      <c r="P92" s="141" t="s">
        <v>124</v>
      </c>
      <c r="Q92" s="142" t="s">
        <v>125</v>
      </c>
    </row>
    <row r="93" spans="1:17" s="102" customFormat="1" ht="49.9" customHeight="1" x14ac:dyDescent="0.25">
      <c r="A93" s="143"/>
      <c r="B93" s="102" t="s">
        <v>157</v>
      </c>
      <c r="F93" s="102" t="s">
        <v>158</v>
      </c>
      <c r="G93" s="102" t="s">
        <v>28</v>
      </c>
      <c r="I93" s="112">
        <v>3910000</v>
      </c>
      <c r="J93" s="103">
        <v>44197</v>
      </c>
      <c r="K93" s="104">
        <f t="shared" si="1"/>
        <v>1</v>
      </c>
      <c r="L93" s="102" t="s">
        <v>159</v>
      </c>
      <c r="M93" s="105">
        <f>(J93+HLOOKUP(L93,Waranty!$A$1:$H$2,2,TRUE))</f>
        <v>44227</v>
      </c>
      <c r="N93" s="102" t="s">
        <v>160</v>
      </c>
      <c r="O93" s="102" t="s">
        <v>230</v>
      </c>
      <c r="P93" s="141" t="s">
        <v>162</v>
      </c>
      <c r="Q93" s="144" t="s">
        <v>163</v>
      </c>
    </row>
    <row r="94" spans="1:17" s="102" customFormat="1" ht="49.9" customHeight="1" x14ac:dyDescent="0.25">
      <c r="A94" s="143"/>
      <c r="B94" s="102" t="s">
        <v>283</v>
      </c>
      <c r="F94" s="102" t="s">
        <v>158</v>
      </c>
      <c r="G94" s="102" t="s">
        <v>158</v>
      </c>
      <c r="I94" s="112">
        <v>1694000</v>
      </c>
      <c r="J94" s="105">
        <v>44589</v>
      </c>
      <c r="K94" s="104">
        <f t="shared" si="1"/>
        <v>1</v>
      </c>
      <c r="L94" s="102" t="s">
        <v>121</v>
      </c>
      <c r="M94" s="105">
        <f>(J94+HLOOKUP(L94,Waranty!$A$1:$H$2,2,TRUE))</f>
        <v>44619</v>
      </c>
      <c r="O94" s="102" t="s">
        <v>123</v>
      </c>
      <c r="P94" s="141" t="s">
        <v>162</v>
      </c>
      <c r="Q94" s="144" t="s">
        <v>68</v>
      </c>
    </row>
    <row r="95" spans="1:17" s="102" customFormat="1" ht="49.9" customHeight="1" x14ac:dyDescent="0.25">
      <c r="A95" s="143"/>
      <c r="B95" s="102" t="s">
        <v>283</v>
      </c>
      <c r="E95" s="102" t="s">
        <v>284</v>
      </c>
      <c r="F95" s="102" t="s">
        <v>158</v>
      </c>
      <c r="G95" s="102" t="s">
        <v>158</v>
      </c>
      <c r="I95" s="112">
        <v>8085000</v>
      </c>
      <c r="J95" s="105">
        <v>44589</v>
      </c>
      <c r="K95" s="104">
        <f t="shared" si="1"/>
        <v>1</v>
      </c>
      <c r="L95" s="102" t="s">
        <v>121</v>
      </c>
      <c r="M95" s="105">
        <f>(J95+HLOOKUP(L95,Waranty!$A$1:$H$2,2,TRUE))</f>
        <v>44619</v>
      </c>
      <c r="O95" s="102" t="s">
        <v>123</v>
      </c>
      <c r="P95" s="141" t="s">
        <v>162</v>
      </c>
      <c r="Q95" s="144" t="s">
        <v>68</v>
      </c>
    </row>
    <row r="96" spans="1:17" s="102" customFormat="1" ht="49.9" customHeight="1" x14ac:dyDescent="0.25">
      <c r="A96" s="143"/>
      <c r="B96" s="102" t="s">
        <v>283</v>
      </c>
      <c r="F96" s="102" t="s">
        <v>158</v>
      </c>
      <c r="G96" s="102" t="s">
        <v>158</v>
      </c>
      <c r="I96" s="112">
        <v>623700</v>
      </c>
      <c r="J96" s="105">
        <v>44589</v>
      </c>
      <c r="K96" s="104">
        <f t="shared" si="1"/>
        <v>1</v>
      </c>
      <c r="L96" s="102" t="s">
        <v>121</v>
      </c>
      <c r="M96" s="105">
        <f>(J96+HLOOKUP(L96,Waranty!$A$1:$H$2,2,TRUE))</f>
        <v>44619</v>
      </c>
      <c r="O96" s="102" t="s">
        <v>123</v>
      </c>
      <c r="P96" s="141" t="s">
        <v>162</v>
      </c>
      <c r="Q96" s="144" t="s">
        <v>68</v>
      </c>
    </row>
    <row r="97" spans="1:17" s="102" customFormat="1" ht="49.9" customHeight="1" x14ac:dyDescent="0.25">
      <c r="A97" s="143"/>
      <c r="B97" s="102" t="s">
        <v>285</v>
      </c>
      <c r="F97" s="102" t="s">
        <v>158</v>
      </c>
      <c r="G97" s="102" t="s">
        <v>158</v>
      </c>
      <c r="I97" s="112">
        <v>935000</v>
      </c>
      <c r="J97" s="105">
        <v>44589</v>
      </c>
      <c r="K97" s="104">
        <f t="shared" si="1"/>
        <v>1</v>
      </c>
      <c r="L97" s="102" t="s">
        <v>159</v>
      </c>
      <c r="M97" s="105">
        <f>(J97+HLOOKUP(L97,Waranty!$A$1:$H$2,2,TRUE))</f>
        <v>44619</v>
      </c>
      <c r="O97" s="102" t="s">
        <v>123</v>
      </c>
      <c r="P97" s="141" t="s">
        <v>124</v>
      </c>
      <c r="Q97" s="142" t="s">
        <v>125</v>
      </c>
    </row>
    <row r="98" spans="1:17" s="102" customFormat="1" ht="49.9" customHeight="1" x14ac:dyDescent="0.25">
      <c r="B98" s="102" t="s">
        <v>116</v>
      </c>
      <c r="F98" s="102" t="s">
        <v>286</v>
      </c>
      <c r="G98" s="102" t="s">
        <v>195</v>
      </c>
      <c r="H98" s="102">
        <v>1</v>
      </c>
      <c r="I98" s="112">
        <v>170500</v>
      </c>
      <c r="J98" s="105">
        <v>44565</v>
      </c>
      <c r="K98" s="104">
        <f t="shared" si="1"/>
        <v>1</v>
      </c>
      <c r="L98" s="102" t="s">
        <v>121</v>
      </c>
      <c r="M98" s="105">
        <f>(J98+HLOOKUP(L98,Waranty!$A$1:$H$2,2,TRUE))</f>
        <v>44595</v>
      </c>
      <c r="N98" s="102" t="s">
        <v>122</v>
      </c>
      <c r="O98" s="102" t="s">
        <v>123</v>
      </c>
      <c r="P98" s="141" t="s">
        <v>124</v>
      </c>
      <c r="Q98" s="142" t="s">
        <v>125</v>
      </c>
    </row>
    <row r="99" spans="1:17" s="102" customFormat="1" ht="49.9" customHeight="1" x14ac:dyDescent="0.25">
      <c r="B99" s="102" t="s">
        <v>116</v>
      </c>
      <c r="F99" s="102" t="s">
        <v>287</v>
      </c>
      <c r="G99" s="102" t="s">
        <v>195</v>
      </c>
      <c r="H99" s="102">
        <v>1</v>
      </c>
      <c r="I99" s="112">
        <v>170500</v>
      </c>
      <c r="J99" s="105">
        <v>44565</v>
      </c>
      <c r="K99" s="104">
        <f t="shared" si="1"/>
        <v>1</v>
      </c>
      <c r="L99" s="102" t="s">
        <v>121</v>
      </c>
      <c r="M99" s="105">
        <f>(J99+HLOOKUP(L99,Waranty!$A$1:$H$2,2,TRUE))</f>
        <v>44595</v>
      </c>
      <c r="N99" s="102" t="s">
        <v>122</v>
      </c>
      <c r="O99" s="102" t="s">
        <v>123</v>
      </c>
      <c r="P99" s="141" t="s">
        <v>124</v>
      </c>
      <c r="Q99" s="142" t="s">
        <v>125</v>
      </c>
    </row>
    <row r="100" spans="1:17" s="102" customFormat="1" ht="49.9" customHeight="1" x14ac:dyDescent="0.25">
      <c r="B100" s="102" t="s">
        <v>116</v>
      </c>
      <c r="F100" s="102" t="s">
        <v>206</v>
      </c>
      <c r="G100" s="102" t="s">
        <v>195</v>
      </c>
      <c r="H100" s="102">
        <v>1</v>
      </c>
      <c r="I100" s="112">
        <v>170500</v>
      </c>
      <c r="J100" s="105">
        <v>44565</v>
      </c>
      <c r="K100" s="104">
        <f t="shared" si="1"/>
        <v>1</v>
      </c>
      <c r="L100" s="102" t="s">
        <v>121</v>
      </c>
      <c r="M100" s="105">
        <f>(J100+HLOOKUP(L100,Waranty!$A$1:$H$2,2,TRUE))</f>
        <v>44595</v>
      </c>
      <c r="N100" s="102" t="s">
        <v>122</v>
      </c>
      <c r="O100" s="102" t="s">
        <v>123</v>
      </c>
      <c r="P100" s="141" t="s">
        <v>124</v>
      </c>
      <c r="Q100" s="142" t="s">
        <v>125</v>
      </c>
    </row>
    <row r="101" spans="1:17" s="102" customFormat="1" ht="49.9" customHeight="1" x14ac:dyDescent="0.25">
      <c r="B101" s="102" t="s">
        <v>211</v>
      </c>
      <c r="F101" s="102" t="s">
        <v>288</v>
      </c>
      <c r="G101" s="102" t="s">
        <v>226</v>
      </c>
      <c r="H101" s="102">
        <v>1</v>
      </c>
      <c r="I101" s="112">
        <v>495000</v>
      </c>
      <c r="J101" s="105">
        <v>44565</v>
      </c>
      <c r="K101" s="104">
        <f t="shared" si="1"/>
        <v>1</v>
      </c>
      <c r="L101" s="102" t="s">
        <v>214</v>
      </c>
      <c r="M101" s="105">
        <f>(J101+HLOOKUP(L101,Waranty!$A$1:$H$2,2,TRUE))</f>
        <v>44655</v>
      </c>
      <c r="N101" s="102" t="s">
        <v>122</v>
      </c>
      <c r="O101" s="102" t="s">
        <v>123</v>
      </c>
      <c r="P101" s="141" t="s">
        <v>124</v>
      </c>
      <c r="Q101" s="142" t="s">
        <v>125</v>
      </c>
    </row>
    <row r="102" spans="1:17" s="102" customFormat="1" ht="49.9" customHeight="1" x14ac:dyDescent="0.25">
      <c r="B102" s="102" t="s">
        <v>188</v>
      </c>
      <c r="E102" s="102" t="s">
        <v>205</v>
      </c>
      <c r="F102" s="102" t="s">
        <v>289</v>
      </c>
      <c r="G102" s="102" t="s">
        <v>128</v>
      </c>
      <c r="H102" s="102">
        <v>1</v>
      </c>
      <c r="I102" s="112">
        <v>330000</v>
      </c>
      <c r="J102" s="105">
        <v>44567</v>
      </c>
      <c r="K102" s="104">
        <f t="shared" si="1"/>
        <v>1</v>
      </c>
      <c r="L102" s="102" t="s">
        <v>121</v>
      </c>
      <c r="M102" s="105">
        <f>(J102+HLOOKUP(L102,Waranty!$A$1:$H$2,2,TRUE))</f>
        <v>44597</v>
      </c>
      <c r="O102" s="102" t="s">
        <v>123</v>
      </c>
      <c r="P102" s="141" t="s">
        <v>124</v>
      </c>
      <c r="Q102" s="142" t="s">
        <v>125</v>
      </c>
    </row>
    <row r="103" spans="1:17" s="102" customFormat="1" ht="87" customHeight="1" x14ac:dyDescent="0.25">
      <c r="B103" s="102" t="s">
        <v>188</v>
      </c>
      <c r="E103" s="102" t="s">
        <v>259</v>
      </c>
      <c r="F103" s="102" t="s">
        <v>276</v>
      </c>
      <c r="G103" s="102" t="s">
        <v>134</v>
      </c>
      <c r="H103" s="102">
        <v>1</v>
      </c>
      <c r="I103" s="112">
        <v>192500</v>
      </c>
      <c r="J103" s="126">
        <v>44567</v>
      </c>
      <c r="K103" s="104">
        <f t="shared" si="1"/>
        <v>1</v>
      </c>
      <c r="L103" s="102" t="s">
        <v>121</v>
      </c>
      <c r="M103" s="105">
        <f>(J103+HLOOKUP(L103,Waranty!$A$1:$H$2,2,TRUE))</f>
        <v>44597</v>
      </c>
      <c r="N103" s="102" t="s">
        <v>122</v>
      </c>
      <c r="O103" s="102" t="s">
        <v>123</v>
      </c>
      <c r="P103" s="141" t="s">
        <v>124</v>
      </c>
      <c r="Q103" s="142" t="s">
        <v>125</v>
      </c>
    </row>
    <row r="104" spans="1:17" s="102" customFormat="1" ht="49.9" customHeight="1" x14ac:dyDescent="0.25">
      <c r="B104" s="102" t="s">
        <v>188</v>
      </c>
      <c r="E104" s="102" t="s">
        <v>259</v>
      </c>
      <c r="F104" s="102" t="s">
        <v>273</v>
      </c>
      <c r="G104" s="102" t="s">
        <v>137</v>
      </c>
      <c r="H104" s="102">
        <v>1</v>
      </c>
      <c r="I104" s="112">
        <v>192500</v>
      </c>
      <c r="J104" s="105">
        <v>44567</v>
      </c>
      <c r="K104" s="104">
        <f t="shared" si="1"/>
        <v>1</v>
      </c>
      <c r="L104" s="102" t="s">
        <v>121</v>
      </c>
      <c r="M104" s="105">
        <f>(J104+HLOOKUP(L104,Waranty!$A$1:$H$2,2,TRUE))</f>
        <v>44597</v>
      </c>
      <c r="N104" s="102" t="s">
        <v>122</v>
      </c>
      <c r="O104" s="102" t="s">
        <v>123</v>
      </c>
      <c r="P104" s="141" t="s">
        <v>124</v>
      </c>
      <c r="Q104" s="142" t="s">
        <v>125</v>
      </c>
    </row>
    <row r="105" spans="1:17" s="102" customFormat="1" ht="49.9" customHeight="1" x14ac:dyDescent="0.25">
      <c r="B105" s="102" t="s">
        <v>188</v>
      </c>
      <c r="E105" s="102" t="s">
        <v>259</v>
      </c>
      <c r="F105" s="102" t="s">
        <v>254</v>
      </c>
      <c r="G105" s="102" t="s">
        <v>140</v>
      </c>
      <c r="H105" s="102">
        <v>1</v>
      </c>
      <c r="I105" s="112">
        <v>192500</v>
      </c>
      <c r="J105" s="105">
        <v>44567</v>
      </c>
      <c r="K105" s="104">
        <f t="shared" si="1"/>
        <v>1</v>
      </c>
      <c r="L105" s="102" t="s">
        <v>121</v>
      </c>
      <c r="M105" s="105">
        <f>(J105+HLOOKUP(L105,Waranty!$A$1:$H$2,2,TRUE))</f>
        <v>44597</v>
      </c>
      <c r="O105" s="102" t="s">
        <v>123</v>
      </c>
      <c r="P105" s="141" t="s">
        <v>124</v>
      </c>
      <c r="Q105" s="142" t="s">
        <v>125</v>
      </c>
    </row>
    <row r="106" spans="1:17" s="102" customFormat="1" ht="49.9" customHeight="1" x14ac:dyDescent="0.25">
      <c r="B106" s="102" t="s">
        <v>188</v>
      </c>
      <c r="E106" s="102" t="s">
        <v>259</v>
      </c>
      <c r="F106" s="102" t="s">
        <v>290</v>
      </c>
      <c r="G106" s="102" t="s">
        <v>153</v>
      </c>
      <c r="H106" s="102">
        <v>1</v>
      </c>
      <c r="I106" s="112">
        <v>192500</v>
      </c>
      <c r="J106" s="105">
        <v>44567</v>
      </c>
      <c r="K106" s="104">
        <f t="shared" si="1"/>
        <v>1</v>
      </c>
      <c r="L106" s="102" t="s">
        <v>121</v>
      </c>
      <c r="M106" s="105">
        <f>(J106+HLOOKUP(L106,Waranty!$A$1:$H$2,2,TRUE))</f>
        <v>44597</v>
      </c>
      <c r="O106" s="102" t="s">
        <v>123</v>
      </c>
      <c r="P106" s="141" t="s">
        <v>124</v>
      </c>
      <c r="Q106" s="142" t="s">
        <v>125</v>
      </c>
    </row>
    <row r="107" spans="1:17" s="102" customFormat="1" ht="49.9" customHeight="1" x14ac:dyDescent="0.25">
      <c r="B107" s="102" t="s">
        <v>188</v>
      </c>
      <c r="E107" s="102" t="s">
        <v>259</v>
      </c>
      <c r="F107" s="102" t="s">
        <v>291</v>
      </c>
      <c r="G107" s="102" t="s">
        <v>213</v>
      </c>
      <c r="H107" s="102">
        <v>1</v>
      </c>
      <c r="I107" s="112">
        <v>192500</v>
      </c>
      <c r="J107" s="105">
        <v>44567</v>
      </c>
      <c r="K107" s="104">
        <f t="shared" si="1"/>
        <v>1</v>
      </c>
      <c r="L107" s="102" t="s">
        <v>121</v>
      </c>
      <c r="M107" s="105">
        <f>(J107+HLOOKUP(L107,Waranty!$A$1:$H$2,2,TRUE))</f>
        <v>44597</v>
      </c>
      <c r="O107" s="102" t="s">
        <v>123</v>
      </c>
      <c r="P107" s="141" t="s">
        <v>124</v>
      </c>
      <c r="Q107" s="142" t="s">
        <v>125</v>
      </c>
    </row>
    <row r="108" spans="1:17" s="102" customFormat="1" ht="49.9" customHeight="1" x14ac:dyDescent="0.25">
      <c r="B108" s="102" t="s">
        <v>143</v>
      </c>
      <c r="E108" s="102" t="s">
        <v>292</v>
      </c>
      <c r="F108" s="102" t="s">
        <v>293</v>
      </c>
      <c r="G108" s="102" t="s">
        <v>234</v>
      </c>
      <c r="H108" s="102">
        <v>1</v>
      </c>
      <c r="I108" s="112">
        <v>5225000</v>
      </c>
      <c r="J108" s="105">
        <v>44571</v>
      </c>
      <c r="K108" s="104">
        <f t="shared" si="1"/>
        <v>1</v>
      </c>
      <c r="L108" s="102" t="s">
        <v>154</v>
      </c>
      <c r="M108" s="105">
        <f>(J108+HLOOKUP(L108,Waranty!$A$1:$H$2,2,TRUE))</f>
        <v>44661</v>
      </c>
      <c r="N108" s="102" t="s">
        <v>122</v>
      </c>
      <c r="O108" s="102" t="s">
        <v>123</v>
      </c>
      <c r="P108" s="141" t="s">
        <v>124</v>
      </c>
      <c r="Q108" s="144" t="s">
        <v>53</v>
      </c>
    </row>
    <row r="109" spans="1:17" s="102" customFormat="1" ht="49.9" customHeight="1" x14ac:dyDescent="0.25">
      <c r="B109" s="102" t="s">
        <v>294</v>
      </c>
      <c r="E109" s="102" t="s">
        <v>295</v>
      </c>
      <c r="F109" s="102" t="s">
        <v>293</v>
      </c>
      <c r="G109" s="102" t="s">
        <v>234</v>
      </c>
      <c r="H109" s="102">
        <v>1</v>
      </c>
      <c r="I109" s="112">
        <v>2475000</v>
      </c>
      <c r="J109" s="105">
        <v>44571</v>
      </c>
      <c r="K109" s="104">
        <f t="shared" si="1"/>
        <v>1</v>
      </c>
      <c r="L109" s="102" t="s">
        <v>154</v>
      </c>
      <c r="M109" s="105">
        <f>(J109+HLOOKUP(L109,Waranty!$A$1:$H$2,2,TRUE))</f>
        <v>44661</v>
      </c>
      <c r="O109" s="102" t="s">
        <v>123</v>
      </c>
      <c r="P109" s="141" t="s">
        <v>124</v>
      </c>
      <c r="Q109" s="144" t="s">
        <v>53</v>
      </c>
    </row>
    <row r="110" spans="1:17" s="102" customFormat="1" ht="49.9" customHeight="1" x14ac:dyDescent="0.25">
      <c r="B110" s="102" t="s">
        <v>250</v>
      </c>
      <c r="E110" s="102" t="s">
        <v>296</v>
      </c>
      <c r="F110" s="102" t="s">
        <v>293</v>
      </c>
      <c r="G110" s="102" t="s">
        <v>234</v>
      </c>
      <c r="H110" s="102">
        <v>1</v>
      </c>
      <c r="I110" s="112">
        <v>4730000</v>
      </c>
      <c r="J110" s="105">
        <v>44573</v>
      </c>
      <c r="K110" s="104">
        <f t="shared" si="1"/>
        <v>1</v>
      </c>
      <c r="L110" s="102" t="s">
        <v>121</v>
      </c>
      <c r="M110" s="105">
        <f>(J110+HLOOKUP(L110,Waranty!$A$1:$H$2,2,TRUE))</f>
        <v>44603</v>
      </c>
      <c r="O110" s="102" t="s">
        <v>167</v>
      </c>
      <c r="P110" s="141" t="s">
        <v>124</v>
      </c>
      <c r="Q110" s="146" t="s">
        <v>297</v>
      </c>
    </row>
    <row r="111" spans="1:17" s="102" customFormat="1" ht="49.9" customHeight="1" x14ac:dyDescent="0.25">
      <c r="B111" s="102" t="s">
        <v>147</v>
      </c>
      <c r="C111" s="102" t="s">
        <v>117</v>
      </c>
      <c r="F111" s="102" t="s">
        <v>158</v>
      </c>
      <c r="G111" s="102" t="s">
        <v>158</v>
      </c>
      <c r="H111" s="102">
        <v>1</v>
      </c>
      <c r="I111" s="112">
        <v>583000</v>
      </c>
      <c r="J111" s="105">
        <v>44572</v>
      </c>
      <c r="K111" s="104">
        <f t="shared" si="1"/>
        <v>1</v>
      </c>
      <c r="L111" s="102" t="s">
        <v>121</v>
      </c>
      <c r="M111" s="105">
        <f>(J111+HLOOKUP(L111,Waranty!$A$1:$H$2,2,TRUE))</f>
        <v>44602</v>
      </c>
      <c r="O111" s="102" t="s">
        <v>123</v>
      </c>
      <c r="P111" s="141" t="s">
        <v>124</v>
      </c>
      <c r="Q111" s="142" t="s">
        <v>125</v>
      </c>
    </row>
    <row r="112" spans="1:17" s="102" customFormat="1" ht="49.9" customHeight="1" x14ac:dyDescent="0.25">
      <c r="B112" s="102" t="s">
        <v>126</v>
      </c>
      <c r="C112" s="102" t="s">
        <v>131</v>
      </c>
      <c r="F112" s="102" t="s">
        <v>298</v>
      </c>
      <c r="G112" s="102" t="s">
        <v>226</v>
      </c>
      <c r="H112" s="102">
        <v>1</v>
      </c>
      <c r="I112" s="112">
        <v>759000</v>
      </c>
      <c r="J112" s="105">
        <v>44572</v>
      </c>
      <c r="K112" s="104">
        <f t="shared" si="1"/>
        <v>1</v>
      </c>
      <c r="L112" s="102" t="s">
        <v>121</v>
      </c>
      <c r="M112" s="105">
        <f>(J112+HLOOKUP(L112,Waranty!$A$1:$H$2,2,TRUE))</f>
        <v>44602</v>
      </c>
      <c r="N112" s="102" t="s">
        <v>122</v>
      </c>
      <c r="O112" s="102" t="s">
        <v>123</v>
      </c>
      <c r="P112" s="141" t="s">
        <v>124</v>
      </c>
      <c r="Q112" s="142" t="s">
        <v>125</v>
      </c>
    </row>
    <row r="113" spans="1:17" s="102" customFormat="1" ht="49.9" customHeight="1" x14ac:dyDescent="0.25">
      <c r="B113" s="102" t="s">
        <v>147</v>
      </c>
      <c r="C113" s="102" t="s">
        <v>131</v>
      </c>
      <c r="F113" s="102" t="s">
        <v>298</v>
      </c>
      <c r="G113" s="102" t="s">
        <v>226</v>
      </c>
      <c r="H113" s="102">
        <v>1</v>
      </c>
      <c r="I113" s="112">
        <v>605000</v>
      </c>
      <c r="J113" s="105">
        <v>44572</v>
      </c>
      <c r="K113" s="104">
        <f t="shared" si="1"/>
        <v>1</v>
      </c>
      <c r="L113" s="102" t="s">
        <v>121</v>
      </c>
      <c r="M113" s="105">
        <f>(J113+HLOOKUP(L113,Waranty!$A$1:$H$2,2,TRUE))</f>
        <v>44602</v>
      </c>
      <c r="N113" s="102" t="s">
        <v>122</v>
      </c>
      <c r="O113" s="102" t="s">
        <v>123</v>
      </c>
      <c r="P113" s="141" t="s">
        <v>124</v>
      </c>
      <c r="Q113" s="142" t="s">
        <v>125</v>
      </c>
    </row>
    <row r="114" spans="1:17" s="102" customFormat="1" ht="49.9" customHeight="1" x14ac:dyDescent="0.25">
      <c r="B114" s="102" t="s">
        <v>126</v>
      </c>
      <c r="C114" s="102" t="s">
        <v>117</v>
      </c>
      <c r="F114" s="102" t="s">
        <v>299</v>
      </c>
      <c r="G114" s="102" t="s">
        <v>120</v>
      </c>
      <c r="H114" s="102">
        <v>1</v>
      </c>
      <c r="I114" s="112">
        <v>935000</v>
      </c>
      <c r="J114" s="105">
        <v>44578</v>
      </c>
      <c r="K114" s="104">
        <f t="shared" si="1"/>
        <v>1</v>
      </c>
      <c r="L114" s="102" t="s">
        <v>121</v>
      </c>
      <c r="M114" s="105">
        <f>(J114+HLOOKUP(L114,Waranty!$A$1:$H$2,2,TRUE))</f>
        <v>44608</v>
      </c>
      <c r="N114" s="102" t="s">
        <v>122</v>
      </c>
      <c r="O114" s="102" t="s">
        <v>123</v>
      </c>
      <c r="P114" s="141" t="s">
        <v>124</v>
      </c>
      <c r="Q114" s="142" t="s">
        <v>125</v>
      </c>
    </row>
    <row r="115" spans="1:17" s="102" customFormat="1" ht="49.9" customHeight="1" x14ac:dyDescent="0.25">
      <c r="B115" s="102" t="s">
        <v>126</v>
      </c>
      <c r="C115" s="102" t="s">
        <v>117</v>
      </c>
      <c r="F115" s="102" t="s">
        <v>300</v>
      </c>
      <c r="G115" s="102" t="s">
        <v>128</v>
      </c>
      <c r="H115" s="102">
        <v>1</v>
      </c>
      <c r="I115" s="112">
        <v>935000</v>
      </c>
      <c r="J115" s="105">
        <v>44578</v>
      </c>
      <c r="K115" s="104">
        <f t="shared" si="1"/>
        <v>1</v>
      </c>
      <c r="L115" s="102" t="s">
        <v>121</v>
      </c>
      <c r="M115" s="105">
        <f>(J115+HLOOKUP(L115,Waranty!$A$1:$H$2,2,TRUE))</f>
        <v>44608</v>
      </c>
      <c r="O115" s="102" t="s">
        <v>123</v>
      </c>
      <c r="P115" s="141" t="s">
        <v>124</v>
      </c>
      <c r="Q115" s="142" t="s">
        <v>125</v>
      </c>
    </row>
    <row r="116" spans="1:17" s="102" customFormat="1" ht="49.9" customHeight="1" x14ac:dyDescent="0.25">
      <c r="B116" s="102" t="s">
        <v>126</v>
      </c>
      <c r="C116" s="102" t="s">
        <v>144</v>
      </c>
      <c r="F116" s="149" t="s">
        <v>224</v>
      </c>
      <c r="G116" s="102" t="s">
        <v>140</v>
      </c>
      <c r="H116" s="102">
        <v>1</v>
      </c>
      <c r="I116" s="112">
        <v>858000</v>
      </c>
      <c r="J116" s="105">
        <v>44580</v>
      </c>
      <c r="K116" s="104">
        <f t="shared" si="1"/>
        <v>1</v>
      </c>
      <c r="L116" s="102" t="s">
        <v>121</v>
      </c>
      <c r="M116" s="105">
        <f>(J116+HLOOKUP(L116,Waranty!$A$1:$H$2,2,TRUE))</f>
        <v>44610</v>
      </c>
      <c r="O116" s="102" t="s">
        <v>123</v>
      </c>
      <c r="P116" s="141" t="s">
        <v>124</v>
      </c>
      <c r="Q116" s="142" t="s">
        <v>125</v>
      </c>
    </row>
    <row r="117" spans="1:17" s="102" customFormat="1" ht="49.9" customHeight="1" x14ac:dyDescent="0.25">
      <c r="B117" s="102" t="s">
        <v>143</v>
      </c>
      <c r="C117" s="102" t="s">
        <v>155</v>
      </c>
      <c r="F117" s="149" t="s">
        <v>273</v>
      </c>
      <c r="G117" s="102" t="s">
        <v>137</v>
      </c>
      <c r="H117" s="102">
        <v>1</v>
      </c>
      <c r="I117" s="112">
        <v>3025000</v>
      </c>
      <c r="J117" s="105">
        <v>44580</v>
      </c>
      <c r="K117" s="104">
        <f t="shared" si="1"/>
        <v>1</v>
      </c>
      <c r="L117" s="102" t="s">
        <v>135</v>
      </c>
      <c r="M117" s="105">
        <f>(J117+HLOOKUP(L117,Waranty!$A$1:$H$2,2,TRUE))</f>
        <v>44760</v>
      </c>
      <c r="N117" s="102" t="s">
        <v>122</v>
      </c>
      <c r="O117" s="102" t="s">
        <v>123</v>
      </c>
      <c r="P117" s="141" t="s">
        <v>124</v>
      </c>
      <c r="Q117" s="142" t="s">
        <v>125</v>
      </c>
    </row>
    <row r="118" spans="1:17" s="102" customFormat="1" ht="49.9" customHeight="1" x14ac:dyDescent="0.25">
      <c r="B118" s="102" t="s">
        <v>301</v>
      </c>
      <c r="F118" s="102" t="s">
        <v>158</v>
      </c>
      <c r="G118" s="102" t="s">
        <v>158</v>
      </c>
      <c r="H118" s="102">
        <v>2</v>
      </c>
      <c r="I118" s="112">
        <v>2640000</v>
      </c>
      <c r="J118" s="105">
        <v>44581</v>
      </c>
      <c r="K118" s="104">
        <f t="shared" si="1"/>
        <v>1</v>
      </c>
      <c r="M118" s="105" t="e">
        <f>(J118+HLOOKUP(L118,Waranty!$A$1:$H$2,2,TRUE))</f>
        <v>#N/A</v>
      </c>
      <c r="O118" s="102" t="s">
        <v>302</v>
      </c>
      <c r="P118" s="141" t="s">
        <v>124</v>
      </c>
      <c r="Q118" s="150" t="s">
        <v>55</v>
      </c>
    </row>
    <row r="119" spans="1:17" s="102" customFormat="1" ht="49.9" customHeight="1" x14ac:dyDescent="0.25">
      <c r="B119" s="102" t="s">
        <v>301</v>
      </c>
      <c r="F119" s="102" t="s">
        <v>158</v>
      </c>
      <c r="G119" s="102" t="s">
        <v>158</v>
      </c>
      <c r="H119" s="102">
        <v>5</v>
      </c>
      <c r="I119" s="112">
        <v>3872000</v>
      </c>
      <c r="J119" s="105">
        <v>44581</v>
      </c>
      <c r="K119" s="104">
        <f t="shared" si="1"/>
        <v>1</v>
      </c>
      <c r="M119" s="105" t="e">
        <f>(J119+HLOOKUP(L119,Waranty!$A$1:$H$2,2,TRUE))</f>
        <v>#N/A</v>
      </c>
      <c r="O119" s="102" t="s">
        <v>302</v>
      </c>
      <c r="P119" s="141" t="s">
        <v>124</v>
      </c>
      <c r="Q119" s="150" t="s">
        <v>55</v>
      </c>
    </row>
    <row r="120" spans="1:17" s="102" customFormat="1" ht="49.9" customHeight="1" x14ac:dyDescent="0.25">
      <c r="B120" s="102" t="s">
        <v>301</v>
      </c>
      <c r="F120" s="102" t="s">
        <v>158</v>
      </c>
      <c r="G120" s="102" t="s">
        <v>158</v>
      </c>
      <c r="H120" s="102">
        <v>5</v>
      </c>
      <c r="I120" s="112">
        <v>1936000</v>
      </c>
      <c r="J120" s="105">
        <v>44581</v>
      </c>
      <c r="K120" s="104">
        <f t="shared" si="1"/>
        <v>1</v>
      </c>
      <c r="M120" s="105" t="e">
        <f>(J120+HLOOKUP(L120,Waranty!$A$1:$H$2,2,TRUE))</f>
        <v>#N/A</v>
      </c>
      <c r="O120" s="102" t="s">
        <v>302</v>
      </c>
      <c r="P120" s="141" t="s">
        <v>124</v>
      </c>
      <c r="Q120" s="150" t="s">
        <v>55</v>
      </c>
    </row>
    <row r="121" spans="1:17" s="102" customFormat="1" ht="49.9" customHeight="1" x14ac:dyDescent="0.25">
      <c r="B121" s="102" t="s">
        <v>182</v>
      </c>
      <c r="F121" s="102" t="s">
        <v>158</v>
      </c>
      <c r="G121" s="102" t="s">
        <v>158</v>
      </c>
      <c r="I121" s="112">
        <v>319000</v>
      </c>
      <c r="J121" s="105">
        <v>44581</v>
      </c>
      <c r="K121" s="104">
        <f t="shared" si="1"/>
        <v>1</v>
      </c>
      <c r="L121" s="102" t="s">
        <v>121</v>
      </c>
      <c r="M121" s="105">
        <f>(J121+HLOOKUP(L121,Waranty!$A$1:$H$2,2,TRUE))</f>
        <v>44611</v>
      </c>
      <c r="N121" s="102" t="s">
        <v>160</v>
      </c>
      <c r="O121" s="102" t="s">
        <v>183</v>
      </c>
      <c r="P121" s="141" t="s">
        <v>162</v>
      </c>
      <c r="Q121" s="144" t="s">
        <v>184</v>
      </c>
    </row>
    <row r="122" spans="1:17" s="102" customFormat="1" ht="49.9" customHeight="1" x14ac:dyDescent="0.25">
      <c r="B122" s="102" t="s">
        <v>303</v>
      </c>
      <c r="F122" s="102" t="s">
        <v>158</v>
      </c>
      <c r="G122" s="102" t="s">
        <v>140</v>
      </c>
      <c r="I122" s="112">
        <v>5581000</v>
      </c>
      <c r="J122" s="105">
        <v>44581</v>
      </c>
      <c r="K122" s="104">
        <f t="shared" si="1"/>
        <v>1</v>
      </c>
      <c r="M122" s="105" t="e">
        <f>(J122+HLOOKUP(L122,Waranty!$A$1:$H$2,2,TRUE))</f>
        <v>#N/A</v>
      </c>
      <c r="O122" s="102" t="s">
        <v>304</v>
      </c>
      <c r="P122" s="141" t="s">
        <v>162</v>
      </c>
      <c r="Q122" s="144" t="s">
        <v>70</v>
      </c>
    </row>
    <row r="123" spans="1:17" s="102" customFormat="1" ht="49.9" customHeight="1" x14ac:dyDescent="0.25">
      <c r="A123" s="143"/>
      <c r="B123" s="102" t="s">
        <v>157</v>
      </c>
      <c r="F123" s="102" t="s">
        <v>158</v>
      </c>
      <c r="G123" s="102" t="s">
        <v>28</v>
      </c>
      <c r="I123" s="112">
        <v>3910000</v>
      </c>
      <c r="J123" s="103">
        <v>44228</v>
      </c>
      <c r="K123" s="104">
        <f t="shared" si="1"/>
        <v>2</v>
      </c>
      <c r="L123" s="102" t="s">
        <v>159</v>
      </c>
      <c r="M123" s="105">
        <f>(J123+HLOOKUP(L123,Waranty!$A$1:$H$2,2,TRUE))</f>
        <v>44258</v>
      </c>
      <c r="N123" s="102" t="s">
        <v>160</v>
      </c>
      <c r="O123" s="102" t="s">
        <v>230</v>
      </c>
      <c r="P123" s="141" t="s">
        <v>162</v>
      </c>
      <c r="Q123" s="144" t="s">
        <v>163</v>
      </c>
    </row>
    <row r="124" spans="1:17" s="102" customFormat="1" ht="49.9" customHeight="1" x14ac:dyDescent="0.25">
      <c r="A124" s="143"/>
      <c r="B124" s="102" t="s">
        <v>157</v>
      </c>
      <c r="F124" s="102" t="s">
        <v>158</v>
      </c>
      <c r="G124" s="102" t="s">
        <v>28</v>
      </c>
      <c r="I124" s="112">
        <v>1256000</v>
      </c>
      <c r="J124" s="103">
        <v>44228</v>
      </c>
      <c r="K124" s="104">
        <f t="shared" si="1"/>
        <v>2</v>
      </c>
      <c r="L124" s="102" t="s">
        <v>159</v>
      </c>
      <c r="M124" s="105">
        <f>(J124+HLOOKUP(L124,Waranty!$A$1:$H$2,2,TRUE))</f>
        <v>44258</v>
      </c>
      <c r="N124" s="102" t="s">
        <v>160</v>
      </c>
      <c r="O124" s="102" t="s">
        <v>230</v>
      </c>
      <c r="P124" s="141" t="s">
        <v>162</v>
      </c>
      <c r="Q124" s="144" t="s">
        <v>163</v>
      </c>
    </row>
    <row r="125" spans="1:17" s="102" customFormat="1" ht="49.9" customHeight="1" x14ac:dyDescent="0.25">
      <c r="B125" s="102" t="s">
        <v>116</v>
      </c>
      <c r="C125" s="102" t="s">
        <v>138</v>
      </c>
      <c r="F125" s="149" t="s">
        <v>305</v>
      </c>
      <c r="G125" s="102" t="s">
        <v>228</v>
      </c>
      <c r="H125" s="102">
        <v>1</v>
      </c>
      <c r="I125" s="112">
        <v>605000</v>
      </c>
      <c r="J125" s="105">
        <v>44607</v>
      </c>
      <c r="K125" s="104">
        <f t="shared" si="1"/>
        <v>2</v>
      </c>
      <c r="L125" s="102" t="s">
        <v>121</v>
      </c>
      <c r="M125" s="105">
        <f>(J125+HLOOKUP(L125,Waranty!$A$1:$H$2,2,TRUE))</f>
        <v>44637</v>
      </c>
      <c r="O125" s="102" t="s">
        <v>167</v>
      </c>
      <c r="P125" s="141" t="s">
        <v>124</v>
      </c>
      <c r="Q125" s="142" t="s">
        <v>125</v>
      </c>
    </row>
    <row r="126" spans="1:17" s="102" customFormat="1" ht="49.9" customHeight="1" x14ac:dyDescent="0.25">
      <c r="B126" s="102" t="s">
        <v>126</v>
      </c>
      <c r="C126" s="102" t="s">
        <v>155</v>
      </c>
      <c r="F126" s="102" t="s">
        <v>306</v>
      </c>
      <c r="G126" s="102" t="s">
        <v>137</v>
      </c>
      <c r="H126" s="151">
        <v>1</v>
      </c>
      <c r="I126" s="112">
        <v>1210000</v>
      </c>
      <c r="J126" s="105">
        <v>44607</v>
      </c>
      <c r="K126" s="104">
        <f t="shared" si="1"/>
        <v>2</v>
      </c>
      <c r="L126" s="102" t="s">
        <v>121</v>
      </c>
      <c r="M126" s="105">
        <f>(J126+HLOOKUP(L126,Waranty!$A$1:$H$2,2,TRUE))</f>
        <v>44637</v>
      </c>
      <c r="N126" s="102" t="s">
        <v>122</v>
      </c>
      <c r="O126" s="102" t="s">
        <v>167</v>
      </c>
      <c r="P126" s="141" t="s">
        <v>124</v>
      </c>
      <c r="Q126" s="142" t="s">
        <v>125</v>
      </c>
    </row>
    <row r="127" spans="1:17" s="102" customFormat="1" ht="49.9" customHeight="1" x14ac:dyDescent="0.25">
      <c r="B127" s="102" t="s">
        <v>126</v>
      </c>
      <c r="C127" s="102" t="s">
        <v>155</v>
      </c>
      <c r="F127" s="102" t="s">
        <v>307</v>
      </c>
      <c r="G127" s="102" t="s">
        <v>153</v>
      </c>
      <c r="H127" s="102">
        <v>1</v>
      </c>
      <c r="I127" s="112">
        <v>1210000</v>
      </c>
      <c r="J127" s="105">
        <v>44607</v>
      </c>
      <c r="K127" s="104">
        <f t="shared" ref="K127:K188" si="2">MONTH(J127)</f>
        <v>2</v>
      </c>
      <c r="L127" s="102" t="s">
        <v>121</v>
      </c>
      <c r="M127" s="105">
        <f>(J127+HLOOKUP(L127,Waranty!$A$1:$H$2,2,TRUE))</f>
        <v>44637</v>
      </c>
      <c r="O127" s="102" t="s">
        <v>167</v>
      </c>
      <c r="P127" s="141" t="s">
        <v>124</v>
      </c>
      <c r="Q127" s="142" t="s">
        <v>125</v>
      </c>
    </row>
    <row r="128" spans="1:17" s="102" customFormat="1" ht="49.9" customHeight="1" x14ac:dyDescent="0.25">
      <c r="B128" s="102" t="s">
        <v>116</v>
      </c>
      <c r="C128" s="102" t="s">
        <v>138</v>
      </c>
      <c r="F128" s="149" t="s">
        <v>308</v>
      </c>
      <c r="G128" s="102" t="s">
        <v>228</v>
      </c>
      <c r="H128" s="102">
        <v>1</v>
      </c>
      <c r="I128" s="112">
        <v>605000</v>
      </c>
      <c r="J128" s="105">
        <v>44608</v>
      </c>
      <c r="K128" s="104">
        <f t="shared" si="2"/>
        <v>2</v>
      </c>
      <c r="L128" s="102" t="s">
        <v>121</v>
      </c>
      <c r="M128" s="105">
        <f>(J128+HLOOKUP(L128,Waranty!$A$1:$H$2,2,TRUE))</f>
        <v>44638</v>
      </c>
      <c r="O128" s="102" t="s">
        <v>167</v>
      </c>
      <c r="P128" s="141" t="s">
        <v>124</v>
      </c>
      <c r="Q128" s="142" t="s">
        <v>125</v>
      </c>
    </row>
    <row r="129" spans="2:17" s="102" customFormat="1" ht="49.9" customHeight="1" x14ac:dyDescent="0.25">
      <c r="B129" s="102" t="s">
        <v>188</v>
      </c>
      <c r="E129" s="102" t="s">
        <v>309</v>
      </c>
      <c r="F129" s="102" t="s">
        <v>310</v>
      </c>
      <c r="G129" s="102" t="s">
        <v>177</v>
      </c>
      <c r="H129" s="102">
        <v>1</v>
      </c>
      <c r="I129" s="112">
        <v>170500</v>
      </c>
      <c r="J129" s="105">
        <v>44609</v>
      </c>
      <c r="K129" s="104">
        <f t="shared" si="2"/>
        <v>2</v>
      </c>
      <c r="L129" s="102" t="s">
        <v>121</v>
      </c>
      <c r="M129" s="105">
        <f>(J129+HLOOKUP(L129,Waranty!$A$1:$H$2,2,TRUE))</f>
        <v>44639</v>
      </c>
      <c r="O129" s="102" t="s">
        <v>123</v>
      </c>
      <c r="P129" s="141" t="s">
        <v>124</v>
      </c>
      <c r="Q129" s="142" t="s">
        <v>125</v>
      </c>
    </row>
    <row r="130" spans="2:17" s="102" customFormat="1" ht="49.9" customHeight="1" x14ac:dyDescent="0.25">
      <c r="B130" s="102" t="s">
        <v>188</v>
      </c>
      <c r="E130" s="102" t="s">
        <v>309</v>
      </c>
      <c r="F130" s="102" t="s">
        <v>300</v>
      </c>
      <c r="G130" s="102" t="s">
        <v>128</v>
      </c>
      <c r="H130" s="102">
        <v>1</v>
      </c>
      <c r="I130" s="112">
        <v>170500</v>
      </c>
      <c r="J130" s="105">
        <v>44609</v>
      </c>
      <c r="K130" s="104">
        <f t="shared" si="2"/>
        <v>2</v>
      </c>
      <c r="L130" s="102" t="s">
        <v>121</v>
      </c>
      <c r="M130" s="105">
        <f>(J130+HLOOKUP(L130,Waranty!$A$1:$H$2,2,TRUE))</f>
        <v>44639</v>
      </c>
      <c r="O130" s="102" t="s">
        <v>123</v>
      </c>
      <c r="P130" s="141" t="s">
        <v>124</v>
      </c>
      <c r="Q130" s="142" t="s">
        <v>125</v>
      </c>
    </row>
    <row r="131" spans="2:17" s="102" customFormat="1" ht="49.9" customHeight="1" x14ac:dyDescent="0.25">
      <c r="B131" s="102" t="s">
        <v>188</v>
      </c>
      <c r="E131" s="102" t="s">
        <v>309</v>
      </c>
      <c r="F131" s="102" t="s">
        <v>311</v>
      </c>
      <c r="G131" s="102" t="s">
        <v>142</v>
      </c>
      <c r="H131" s="102">
        <v>1</v>
      </c>
      <c r="I131" s="112">
        <v>170500</v>
      </c>
      <c r="J131" s="105">
        <v>44609</v>
      </c>
      <c r="K131" s="104">
        <f t="shared" si="2"/>
        <v>2</v>
      </c>
      <c r="L131" s="102" t="s">
        <v>121</v>
      </c>
      <c r="M131" s="105">
        <f>(J131+HLOOKUP(L131,Waranty!$A$1:$H$2,2,TRUE))</f>
        <v>44639</v>
      </c>
      <c r="N131" s="102" t="s">
        <v>122</v>
      </c>
      <c r="O131" s="102" t="s">
        <v>123</v>
      </c>
      <c r="P131" s="141" t="s">
        <v>124</v>
      </c>
      <c r="Q131" s="142" t="s">
        <v>125</v>
      </c>
    </row>
    <row r="132" spans="2:17" s="102" customFormat="1" ht="49.9" customHeight="1" x14ac:dyDescent="0.25">
      <c r="B132" s="102" t="s">
        <v>188</v>
      </c>
      <c r="E132" s="102" t="s">
        <v>309</v>
      </c>
      <c r="F132" s="102" t="s">
        <v>312</v>
      </c>
      <c r="G132" s="102" t="s">
        <v>39</v>
      </c>
      <c r="H132" s="102">
        <v>1</v>
      </c>
      <c r="I132" s="112">
        <v>170500</v>
      </c>
      <c r="J132" s="105">
        <v>44609</v>
      </c>
      <c r="K132" s="104">
        <f t="shared" si="2"/>
        <v>2</v>
      </c>
      <c r="L132" s="102" t="s">
        <v>121</v>
      </c>
      <c r="M132" s="105">
        <f>(J132+HLOOKUP(L132,Waranty!$A$1:$H$2,2,TRUE))</f>
        <v>44639</v>
      </c>
      <c r="O132" s="102" t="s">
        <v>123</v>
      </c>
      <c r="P132" s="141" t="s">
        <v>124</v>
      </c>
      <c r="Q132" s="142" t="s">
        <v>125</v>
      </c>
    </row>
    <row r="133" spans="2:17" s="102" customFormat="1" ht="49.9" customHeight="1" x14ac:dyDescent="0.25">
      <c r="B133" s="102" t="s">
        <v>188</v>
      </c>
      <c r="E133" s="102" t="s">
        <v>309</v>
      </c>
      <c r="F133" s="102" t="s">
        <v>313</v>
      </c>
      <c r="G133" s="102" t="s">
        <v>314</v>
      </c>
      <c r="H133" s="102">
        <v>1</v>
      </c>
      <c r="I133" s="112">
        <v>170500</v>
      </c>
      <c r="J133" s="105">
        <v>44609</v>
      </c>
      <c r="K133" s="104">
        <f t="shared" si="2"/>
        <v>2</v>
      </c>
      <c r="L133" s="102" t="s">
        <v>121</v>
      </c>
      <c r="M133" s="105">
        <f>(J133+HLOOKUP(L133,Waranty!$A$1:$H$2,2,TRUE))</f>
        <v>44639</v>
      </c>
      <c r="O133" s="102" t="s">
        <v>123</v>
      </c>
      <c r="P133" s="141" t="s">
        <v>124</v>
      </c>
      <c r="Q133" s="142" t="s">
        <v>125</v>
      </c>
    </row>
    <row r="134" spans="2:17" s="102" customFormat="1" ht="49.9" customHeight="1" x14ac:dyDescent="0.25">
      <c r="B134" s="102" t="s">
        <v>188</v>
      </c>
      <c r="E134" s="102" t="s">
        <v>309</v>
      </c>
      <c r="F134" s="102" t="s">
        <v>315</v>
      </c>
      <c r="G134" s="102" t="s">
        <v>137</v>
      </c>
      <c r="H134" s="102">
        <v>1</v>
      </c>
      <c r="I134" s="112">
        <v>170500</v>
      </c>
      <c r="J134" s="105">
        <v>44611</v>
      </c>
      <c r="K134" s="104">
        <f t="shared" si="2"/>
        <v>2</v>
      </c>
      <c r="L134" s="102" t="s">
        <v>121</v>
      </c>
      <c r="M134" s="105">
        <f>(J134+HLOOKUP(L134,Waranty!$A$1:$H$2,2,TRUE))</f>
        <v>44641</v>
      </c>
      <c r="N134" s="102" t="s">
        <v>122</v>
      </c>
      <c r="O134" s="102" t="s">
        <v>123</v>
      </c>
      <c r="P134" s="141" t="s">
        <v>124</v>
      </c>
      <c r="Q134" s="142" t="s">
        <v>125</v>
      </c>
    </row>
    <row r="135" spans="2:17" s="102" customFormat="1" ht="49.9" customHeight="1" x14ac:dyDescent="0.25">
      <c r="B135" s="102" t="s">
        <v>188</v>
      </c>
      <c r="E135" s="102" t="s">
        <v>309</v>
      </c>
      <c r="F135" s="102" t="s">
        <v>316</v>
      </c>
      <c r="G135" s="102" t="s">
        <v>140</v>
      </c>
      <c r="H135" s="102">
        <v>1</v>
      </c>
      <c r="I135" s="112">
        <v>170500</v>
      </c>
      <c r="J135" s="105">
        <v>44611</v>
      </c>
      <c r="K135" s="104">
        <f t="shared" si="2"/>
        <v>2</v>
      </c>
      <c r="L135" s="102" t="s">
        <v>121</v>
      </c>
      <c r="M135" s="105">
        <f>(J135+HLOOKUP(L135,Waranty!$A$1:$H$2,2,TRUE))</f>
        <v>44641</v>
      </c>
      <c r="O135" s="102" t="s">
        <v>123</v>
      </c>
      <c r="P135" s="141" t="s">
        <v>124</v>
      </c>
      <c r="Q135" s="142" t="s">
        <v>125</v>
      </c>
    </row>
    <row r="136" spans="2:17" s="102" customFormat="1" ht="49.9" customHeight="1" x14ac:dyDescent="0.25">
      <c r="B136" s="102" t="s">
        <v>188</v>
      </c>
      <c r="E136" s="102" t="s">
        <v>309</v>
      </c>
      <c r="F136" s="102" t="s">
        <v>317</v>
      </c>
      <c r="G136" s="102" t="s">
        <v>140</v>
      </c>
      <c r="H136" s="102">
        <v>1</v>
      </c>
      <c r="I136" s="112">
        <v>170500</v>
      </c>
      <c r="J136" s="105">
        <v>44611</v>
      </c>
      <c r="K136" s="104">
        <f t="shared" si="2"/>
        <v>2</v>
      </c>
      <c r="L136" s="102" t="s">
        <v>121</v>
      </c>
      <c r="M136" s="105">
        <f>(J136+HLOOKUP(L136,Waranty!$A$1:$H$2,2,TRUE))</f>
        <v>44641</v>
      </c>
      <c r="O136" s="102" t="s">
        <v>123</v>
      </c>
      <c r="P136" s="141" t="s">
        <v>124</v>
      </c>
      <c r="Q136" s="142" t="s">
        <v>125</v>
      </c>
    </row>
    <row r="137" spans="2:17" s="102" customFormat="1" ht="49.9" customHeight="1" x14ac:dyDescent="0.25">
      <c r="B137" s="102" t="s">
        <v>188</v>
      </c>
      <c r="E137" s="102" t="s">
        <v>309</v>
      </c>
      <c r="F137" s="102" t="s">
        <v>318</v>
      </c>
      <c r="G137" s="102" t="s">
        <v>149</v>
      </c>
      <c r="H137" s="102">
        <v>1</v>
      </c>
      <c r="I137" s="112">
        <v>170500</v>
      </c>
      <c r="J137" s="105">
        <v>44611</v>
      </c>
      <c r="K137" s="104">
        <f t="shared" si="2"/>
        <v>2</v>
      </c>
      <c r="L137" s="102" t="s">
        <v>121</v>
      </c>
      <c r="M137" s="105">
        <f>(J137+HLOOKUP(L137,Waranty!$A$1:$H$2,2,TRUE))</f>
        <v>44641</v>
      </c>
      <c r="O137" s="102" t="s">
        <v>123</v>
      </c>
      <c r="P137" s="141" t="s">
        <v>124</v>
      </c>
      <c r="Q137" s="142" t="s">
        <v>125</v>
      </c>
    </row>
    <row r="138" spans="2:17" s="102" customFormat="1" ht="49.9" customHeight="1" x14ac:dyDescent="0.25">
      <c r="B138" s="102" t="s">
        <v>188</v>
      </c>
      <c r="E138" s="102" t="s">
        <v>309</v>
      </c>
      <c r="F138" s="102" t="s">
        <v>274</v>
      </c>
      <c r="G138" s="102" t="s">
        <v>149</v>
      </c>
      <c r="H138" s="102">
        <v>1</v>
      </c>
      <c r="I138" s="112">
        <v>170500</v>
      </c>
      <c r="J138" s="105">
        <v>44611</v>
      </c>
      <c r="K138" s="104">
        <f t="shared" si="2"/>
        <v>2</v>
      </c>
      <c r="L138" s="102" t="s">
        <v>121</v>
      </c>
      <c r="M138" s="105">
        <f>(J138+HLOOKUP(L138,Waranty!$A$1:$H$2,2,TRUE))</f>
        <v>44641</v>
      </c>
      <c r="O138" s="102" t="s">
        <v>123</v>
      </c>
      <c r="P138" s="141" t="s">
        <v>124</v>
      </c>
      <c r="Q138" s="142" t="s">
        <v>125</v>
      </c>
    </row>
    <row r="139" spans="2:17" s="102" customFormat="1" ht="49.9" customHeight="1" x14ac:dyDescent="0.25">
      <c r="B139" s="102" t="s">
        <v>188</v>
      </c>
      <c r="E139" s="102" t="s">
        <v>309</v>
      </c>
      <c r="F139" s="102" t="s">
        <v>319</v>
      </c>
      <c r="G139" s="102" t="s">
        <v>149</v>
      </c>
      <c r="H139" s="102">
        <v>1</v>
      </c>
      <c r="I139" s="112">
        <v>170500</v>
      </c>
      <c r="J139" s="105">
        <v>44611</v>
      </c>
      <c r="K139" s="104">
        <f t="shared" si="2"/>
        <v>2</v>
      </c>
      <c r="L139" s="102" t="s">
        <v>121</v>
      </c>
      <c r="M139" s="105">
        <f>(J139+HLOOKUP(L139,Waranty!$A$1:$H$2,2,TRUE))</f>
        <v>44641</v>
      </c>
      <c r="O139" s="102" t="s">
        <v>123</v>
      </c>
      <c r="P139" s="141" t="s">
        <v>124</v>
      </c>
      <c r="Q139" s="142" t="s">
        <v>125</v>
      </c>
    </row>
    <row r="140" spans="2:17" s="102" customFormat="1" ht="49.9" customHeight="1" x14ac:dyDescent="0.25">
      <c r="B140" s="102" t="s">
        <v>188</v>
      </c>
      <c r="E140" s="102" t="s">
        <v>309</v>
      </c>
      <c r="F140" s="102" t="s">
        <v>320</v>
      </c>
      <c r="G140" s="102" t="s">
        <v>149</v>
      </c>
      <c r="H140" s="102">
        <v>1</v>
      </c>
      <c r="I140" s="112">
        <v>170500</v>
      </c>
      <c r="J140" s="105">
        <v>44611</v>
      </c>
      <c r="K140" s="104">
        <f t="shared" si="2"/>
        <v>2</v>
      </c>
      <c r="L140" s="102" t="s">
        <v>121</v>
      </c>
      <c r="M140" s="105">
        <f>(J140+HLOOKUP(L140,Waranty!$A$1:$H$2,2,TRUE))</f>
        <v>44641</v>
      </c>
      <c r="O140" s="102" t="s">
        <v>123</v>
      </c>
      <c r="P140" s="141" t="s">
        <v>124</v>
      </c>
      <c r="Q140" s="142" t="s">
        <v>125</v>
      </c>
    </row>
    <row r="141" spans="2:17" s="102" customFormat="1" ht="49.9" customHeight="1" x14ac:dyDescent="0.25">
      <c r="B141" s="102" t="s">
        <v>188</v>
      </c>
      <c r="E141" s="102" t="s">
        <v>309</v>
      </c>
      <c r="F141" s="102" t="s">
        <v>321</v>
      </c>
      <c r="G141" s="102" t="s">
        <v>149</v>
      </c>
      <c r="H141" s="102">
        <v>1</v>
      </c>
      <c r="I141" s="112">
        <v>170500</v>
      </c>
      <c r="J141" s="105">
        <v>44611</v>
      </c>
      <c r="K141" s="104">
        <f t="shared" si="2"/>
        <v>2</v>
      </c>
      <c r="L141" s="102" t="s">
        <v>121</v>
      </c>
      <c r="M141" s="105">
        <f>(J141+HLOOKUP(L141,Waranty!$A$1:$H$2,2,TRUE))</f>
        <v>44641</v>
      </c>
      <c r="O141" s="102" t="s">
        <v>123</v>
      </c>
      <c r="P141" s="141" t="s">
        <v>124</v>
      </c>
      <c r="Q141" s="142" t="s">
        <v>125</v>
      </c>
    </row>
    <row r="142" spans="2:17" s="102" customFormat="1" ht="49.9" customHeight="1" x14ac:dyDescent="0.25">
      <c r="B142" s="102" t="s">
        <v>188</v>
      </c>
      <c r="E142" s="102" t="s">
        <v>309</v>
      </c>
      <c r="F142" s="102" t="s">
        <v>322</v>
      </c>
      <c r="G142" s="102" t="s">
        <v>149</v>
      </c>
      <c r="H142" s="102">
        <v>1</v>
      </c>
      <c r="I142" s="112">
        <v>170500</v>
      </c>
      <c r="J142" s="105">
        <v>44611</v>
      </c>
      <c r="K142" s="104">
        <f t="shared" si="2"/>
        <v>2</v>
      </c>
      <c r="L142" s="102" t="s">
        <v>121</v>
      </c>
      <c r="M142" s="105">
        <f>(J142+HLOOKUP(L142,Waranty!$A$1:$H$2,2,TRUE))</f>
        <v>44641</v>
      </c>
      <c r="O142" s="102" t="s">
        <v>123</v>
      </c>
      <c r="P142" s="141" t="s">
        <v>124</v>
      </c>
      <c r="Q142" s="142" t="s">
        <v>125</v>
      </c>
    </row>
    <row r="143" spans="2:17" s="102" customFormat="1" ht="49.9" customHeight="1" x14ac:dyDescent="0.25">
      <c r="B143" s="102" t="s">
        <v>188</v>
      </c>
      <c r="E143" s="102" t="s">
        <v>309</v>
      </c>
      <c r="F143" s="102" t="s">
        <v>323</v>
      </c>
      <c r="G143" s="102" t="s">
        <v>195</v>
      </c>
      <c r="H143" s="102">
        <v>1</v>
      </c>
      <c r="I143" s="112">
        <v>170500</v>
      </c>
      <c r="J143" s="105">
        <v>44611</v>
      </c>
      <c r="K143" s="104">
        <f t="shared" si="2"/>
        <v>2</v>
      </c>
      <c r="L143" s="102" t="s">
        <v>121</v>
      </c>
      <c r="M143" s="105">
        <f>(J143+HLOOKUP(L143,Waranty!$A$1:$H$2,2,TRUE))</f>
        <v>44641</v>
      </c>
      <c r="N143" s="102" t="s">
        <v>122</v>
      </c>
      <c r="O143" s="102" t="s">
        <v>123</v>
      </c>
      <c r="P143" s="141" t="s">
        <v>124</v>
      </c>
      <c r="Q143" s="142" t="s">
        <v>125</v>
      </c>
    </row>
    <row r="144" spans="2:17" s="102" customFormat="1" ht="49.9" customHeight="1" x14ac:dyDescent="0.25">
      <c r="B144" s="102" t="s">
        <v>250</v>
      </c>
      <c r="E144" s="102" t="s">
        <v>251</v>
      </c>
      <c r="F144" s="102" t="s">
        <v>158</v>
      </c>
      <c r="G144" s="102" t="s">
        <v>153</v>
      </c>
      <c r="H144" s="102">
        <v>1</v>
      </c>
      <c r="I144" s="112">
        <v>9290000</v>
      </c>
      <c r="J144" s="105">
        <v>44616</v>
      </c>
      <c r="K144" s="104">
        <f t="shared" si="2"/>
        <v>2</v>
      </c>
      <c r="L144" s="102" t="s">
        <v>121</v>
      </c>
      <c r="M144" s="105">
        <f>(J144+HLOOKUP(L144,Waranty!$A$1:$H$2,2,TRUE))</f>
        <v>44646</v>
      </c>
      <c r="O144" s="102" t="s">
        <v>123</v>
      </c>
      <c r="P144" s="141" t="s">
        <v>124</v>
      </c>
      <c r="Q144" s="142" t="s">
        <v>125</v>
      </c>
    </row>
    <row r="145" spans="1:17" s="102" customFormat="1" ht="49.9" customHeight="1" x14ac:dyDescent="0.25">
      <c r="B145" s="102" t="s">
        <v>150</v>
      </c>
      <c r="E145" s="102" t="s">
        <v>324</v>
      </c>
      <c r="F145" s="102" t="s">
        <v>158</v>
      </c>
      <c r="G145" s="102" t="s">
        <v>158</v>
      </c>
      <c r="H145" s="102">
        <v>1</v>
      </c>
      <c r="I145" s="112">
        <v>4895000</v>
      </c>
      <c r="J145" s="105">
        <v>44616</v>
      </c>
      <c r="K145" s="104">
        <f t="shared" si="2"/>
        <v>2</v>
      </c>
      <c r="L145" s="102" t="s">
        <v>154</v>
      </c>
      <c r="M145" s="105">
        <f>(J145+HLOOKUP(L145,Waranty!$A$1:$H$2,2,TRUE))</f>
        <v>44706</v>
      </c>
      <c r="O145" s="102" t="s">
        <v>123</v>
      </c>
      <c r="P145" s="141" t="s">
        <v>124</v>
      </c>
      <c r="Q145" s="142" t="s">
        <v>125</v>
      </c>
    </row>
    <row r="146" spans="1:17" s="102" customFormat="1" ht="49.9" customHeight="1" x14ac:dyDescent="0.25">
      <c r="B146" s="102" t="s">
        <v>116</v>
      </c>
      <c r="C146" s="102" t="s">
        <v>117</v>
      </c>
      <c r="F146" s="102" t="s">
        <v>300</v>
      </c>
      <c r="G146" s="102" t="s">
        <v>128</v>
      </c>
      <c r="H146" s="102">
        <v>1</v>
      </c>
      <c r="I146" s="112" t="s">
        <v>325</v>
      </c>
      <c r="J146" s="105">
        <v>44620</v>
      </c>
      <c r="K146" s="104">
        <f t="shared" si="2"/>
        <v>2</v>
      </c>
      <c r="L146" s="102" t="s">
        <v>121</v>
      </c>
      <c r="M146" s="105">
        <f>(J146+HLOOKUP(L146,Waranty!$A$1:$H$2,2,TRUE))</f>
        <v>44650</v>
      </c>
      <c r="O146" s="102" t="s">
        <v>123</v>
      </c>
      <c r="P146" s="141" t="s">
        <v>124</v>
      </c>
      <c r="Q146" s="142" t="s">
        <v>125</v>
      </c>
    </row>
    <row r="147" spans="1:17" s="102" customFormat="1" ht="49.9" customHeight="1" x14ac:dyDescent="0.25">
      <c r="B147" s="102" t="s">
        <v>147</v>
      </c>
      <c r="C147" s="102" t="s">
        <v>117</v>
      </c>
      <c r="F147" s="102" t="s">
        <v>300</v>
      </c>
      <c r="G147" s="102" t="s">
        <v>128</v>
      </c>
      <c r="H147" s="102">
        <v>1</v>
      </c>
      <c r="I147" s="112" t="s">
        <v>326</v>
      </c>
      <c r="J147" s="105">
        <v>44620</v>
      </c>
      <c r="K147" s="104">
        <f t="shared" si="2"/>
        <v>2</v>
      </c>
      <c r="L147" s="102" t="s">
        <v>121</v>
      </c>
      <c r="M147" s="105">
        <f>(J147+HLOOKUP(L147,Waranty!$A$1:$H$2,2,TRUE))</f>
        <v>44650</v>
      </c>
      <c r="O147" s="102" t="s">
        <v>123</v>
      </c>
      <c r="P147" s="141" t="s">
        <v>124</v>
      </c>
      <c r="Q147" s="142" t="s">
        <v>125</v>
      </c>
    </row>
    <row r="148" spans="1:17" s="102" customFormat="1" ht="49.9" customHeight="1" x14ac:dyDescent="0.25">
      <c r="B148" s="102" t="s">
        <v>284</v>
      </c>
      <c r="E148" s="102" t="s">
        <v>327</v>
      </c>
      <c r="F148" s="102" t="s">
        <v>158</v>
      </c>
      <c r="G148" s="102" t="s">
        <v>158</v>
      </c>
      <c r="H148" s="102">
        <v>4</v>
      </c>
      <c r="I148" s="112">
        <v>10659000</v>
      </c>
      <c r="J148" s="105">
        <v>44620</v>
      </c>
      <c r="K148" s="104">
        <f t="shared" si="2"/>
        <v>2</v>
      </c>
      <c r="L148" s="102" t="s">
        <v>121</v>
      </c>
      <c r="M148" s="105">
        <f>(J148+HLOOKUP(L148,Waranty!$A$1:$H$2,2,TRUE))</f>
        <v>44650</v>
      </c>
      <c r="O148" s="102" t="s">
        <v>123</v>
      </c>
      <c r="P148" s="141" t="s">
        <v>162</v>
      </c>
      <c r="Q148" s="144" t="s">
        <v>68</v>
      </c>
    </row>
    <row r="149" spans="1:17" s="102" customFormat="1" ht="49.9" customHeight="1" x14ac:dyDescent="0.25">
      <c r="B149" s="102" t="s">
        <v>301</v>
      </c>
      <c r="F149" s="102" t="s">
        <v>158</v>
      </c>
      <c r="G149" s="102" t="s">
        <v>158</v>
      </c>
      <c r="H149" s="102">
        <v>3</v>
      </c>
      <c r="I149" s="112">
        <v>2904000</v>
      </c>
      <c r="J149" s="105">
        <v>44620</v>
      </c>
      <c r="K149" s="104">
        <f t="shared" si="2"/>
        <v>2</v>
      </c>
      <c r="L149" s="102" t="s">
        <v>214</v>
      </c>
      <c r="M149" s="105">
        <f>(J149+HLOOKUP(L149,Waranty!$A$1:$H$2,2,TRUE))</f>
        <v>44710</v>
      </c>
      <c r="O149" s="102" t="s">
        <v>302</v>
      </c>
      <c r="P149" s="141" t="s">
        <v>124</v>
      </c>
      <c r="Q149" s="150" t="s">
        <v>55</v>
      </c>
    </row>
    <row r="150" spans="1:17" s="102" customFormat="1" ht="49.9" customHeight="1" x14ac:dyDescent="0.25">
      <c r="B150" s="102" t="s">
        <v>301</v>
      </c>
      <c r="F150" s="102" t="s">
        <v>158</v>
      </c>
      <c r="G150" s="102" t="s">
        <v>158</v>
      </c>
      <c r="H150" s="102">
        <v>5</v>
      </c>
      <c r="I150" s="112">
        <v>4840000</v>
      </c>
      <c r="J150" s="105">
        <v>44620</v>
      </c>
      <c r="K150" s="104">
        <f t="shared" si="2"/>
        <v>2</v>
      </c>
      <c r="L150" s="102" t="s">
        <v>214</v>
      </c>
      <c r="M150" s="105">
        <f>(J150+HLOOKUP(L150,Waranty!$A$1:$H$2,2,TRUE))</f>
        <v>44710</v>
      </c>
      <c r="O150" s="102" t="s">
        <v>302</v>
      </c>
      <c r="P150" s="141" t="s">
        <v>124</v>
      </c>
      <c r="Q150" s="150" t="s">
        <v>55</v>
      </c>
    </row>
    <row r="151" spans="1:17" s="102" customFormat="1" ht="49.9" customHeight="1" x14ac:dyDescent="0.25">
      <c r="B151" s="102" t="s">
        <v>328</v>
      </c>
      <c r="F151" s="102" t="s">
        <v>158</v>
      </c>
      <c r="G151" s="102" t="s">
        <v>158</v>
      </c>
      <c r="I151" s="112">
        <v>40150000</v>
      </c>
      <c r="J151" s="105">
        <v>44620</v>
      </c>
      <c r="K151" s="104">
        <f t="shared" si="2"/>
        <v>2</v>
      </c>
      <c r="L151" s="102" t="s">
        <v>154</v>
      </c>
      <c r="M151" s="105">
        <f>(J151+HLOOKUP(L151,Waranty!$A$1:$H$2,2,TRUE))</f>
        <v>44710</v>
      </c>
      <c r="O151" s="102" t="s">
        <v>302</v>
      </c>
      <c r="P151" s="141" t="s">
        <v>162</v>
      </c>
      <c r="Q151" s="146" t="s">
        <v>329</v>
      </c>
    </row>
    <row r="152" spans="1:17" s="102" customFormat="1" ht="49.9" customHeight="1" x14ac:dyDescent="0.25">
      <c r="B152" s="102" t="s">
        <v>330</v>
      </c>
      <c r="E152" s="102" t="s">
        <v>331</v>
      </c>
      <c r="F152" s="102" t="s">
        <v>158</v>
      </c>
      <c r="G152" s="102" t="s">
        <v>28</v>
      </c>
      <c r="H152" s="102">
        <v>30</v>
      </c>
      <c r="I152" s="112">
        <v>11958300</v>
      </c>
      <c r="J152" s="105">
        <v>44620</v>
      </c>
      <c r="K152" s="104">
        <f t="shared" si="2"/>
        <v>2</v>
      </c>
      <c r="L152" s="102" t="s">
        <v>214</v>
      </c>
      <c r="M152" s="105">
        <f>(J152+HLOOKUP(L152,Waranty!$A$1:$H$2,2,TRUE))</f>
        <v>44710</v>
      </c>
      <c r="O152" s="102" t="s">
        <v>172</v>
      </c>
      <c r="P152" s="141" t="s">
        <v>173</v>
      </c>
      <c r="Q152" s="81" t="s">
        <v>34</v>
      </c>
    </row>
    <row r="153" spans="1:17" s="102" customFormat="1" ht="49.9" customHeight="1" x14ac:dyDescent="0.25">
      <c r="A153" s="143"/>
      <c r="B153" s="102" t="s">
        <v>157</v>
      </c>
      <c r="F153" s="102" t="s">
        <v>158</v>
      </c>
      <c r="G153" s="102" t="s">
        <v>28</v>
      </c>
      <c r="I153" s="112">
        <v>3910000</v>
      </c>
      <c r="J153" s="103">
        <v>44256</v>
      </c>
      <c r="K153" s="104">
        <f t="shared" si="2"/>
        <v>3</v>
      </c>
      <c r="L153" s="102" t="s">
        <v>159</v>
      </c>
      <c r="M153" s="105">
        <f>(J153+HLOOKUP(L153,Waranty!$A$1:$H$2,2,TRUE))</f>
        <v>44286</v>
      </c>
      <c r="N153" s="102" t="s">
        <v>160</v>
      </c>
      <c r="O153" s="102" t="s">
        <v>230</v>
      </c>
      <c r="P153" s="141" t="s">
        <v>162</v>
      </c>
      <c r="Q153" s="144" t="s">
        <v>163</v>
      </c>
    </row>
    <row r="154" spans="1:17" s="102" customFormat="1" ht="49.9" customHeight="1" x14ac:dyDescent="0.25">
      <c r="A154" s="143"/>
      <c r="B154" s="102" t="s">
        <v>157</v>
      </c>
      <c r="F154" s="102" t="s">
        <v>158</v>
      </c>
      <c r="G154" s="102" t="s">
        <v>332</v>
      </c>
      <c r="I154" s="112">
        <v>660000</v>
      </c>
      <c r="J154" s="103">
        <v>44256</v>
      </c>
      <c r="K154" s="104">
        <f t="shared" si="2"/>
        <v>3</v>
      </c>
      <c r="L154" s="102" t="s">
        <v>159</v>
      </c>
      <c r="M154" s="105">
        <f>(J154+HLOOKUP(L154,Waranty!$A$1:$H$2,2,TRUE))</f>
        <v>44286</v>
      </c>
      <c r="N154" s="102" t="s">
        <v>160</v>
      </c>
      <c r="O154" s="102" t="s">
        <v>230</v>
      </c>
      <c r="P154" s="141" t="s">
        <v>162</v>
      </c>
      <c r="Q154" s="144" t="s">
        <v>163</v>
      </c>
    </row>
    <row r="155" spans="1:17" s="102" customFormat="1" ht="49.9" customHeight="1" x14ac:dyDescent="0.25">
      <c r="A155" s="143"/>
      <c r="B155" s="102" t="s">
        <v>157</v>
      </c>
      <c r="F155" s="102" t="s">
        <v>158</v>
      </c>
      <c r="G155" s="102" t="s">
        <v>28</v>
      </c>
      <c r="I155" s="112">
        <v>10560000</v>
      </c>
      <c r="J155" s="103">
        <v>44256</v>
      </c>
      <c r="K155" s="104">
        <f t="shared" si="2"/>
        <v>3</v>
      </c>
      <c r="L155" s="102" t="s">
        <v>159</v>
      </c>
      <c r="M155" s="105">
        <f>(J155+HLOOKUP(L155,Waranty!$A$1:$H$2,2,TRUE))</f>
        <v>44286</v>
      </c>
      <c r="N155" s="102" t="s">
        <v>160</v>
      </c>
      <c r="O155" s="102" t="s">
        <v>333</v>
      </c>
      <c r="P155" s="141" t="s">
        <v>162</v>
      </c>
      <c r="Q155" s="144" t="s">
        <v>163</v>
      </c>
    </row>
    <row r="156" spans="1:17" s="102" customFormat="1" ht="49.9" customHeight="1" x14ac:dyDescent="0.25">
      <c r="B156" s="102" t="s">
        <v>116</v>
      </c>
      <c r="C156" s="102" t="s">
        <v>155</v>
      </c>
      <c r="F156" s="102" t="s">
        <v>334</v>
      </c>
      <c r="G156" s="102" t="s">
        <v>219</v>
      </c>
      <c r="H156" s="102">
        <v>1</v>
      </c>
      <c r="I156" s="112">
        <v>726000</v>
      </c>
      <c r="J156" s="105">
        <v>44623</v>
      </c>
      <c r="K156" s="104">
        <f t="shared" si="2"/>
        <v>3</v>
      </c>
      <c r="L156" s="102" t="s">
        <v>121</v>
      </c>
      <c r="M156" s="105">
        <f>(J156+HLOOKUP(L156,Waranty!$A$1:$H$2,2,TRUE))</f>
        <v>44653</v>
      </c>
      <c r="N156" s="102" t="s">
        <v>122</v>
      </c>
      <c r="O156" s="102" t="s">
        <v>123</v>
      </c>
      <c r="P156" s="141" t="s">
        <v>124</v>
      </c>
      <c r="Q156" s="142" t="s">
        <v>125</v>
      </c>
    </row>
    <row r="157" spans="1:17" s="102" customFormat="1" ht="49.9" customHeight="1" x14ac:dyDescent="0.25">
      <c r="B157" s="148" t="s">
        <v>335</v>
      </c>
      <c r="C157" s="102" t="s">
        <v>336</v>
      </c>
      <c r="E157" s="102" t="s">
        <v>337</v>
      </c>
      <c r="F157" s="102" t="s">
        <v>158</v>
      </c>
      <c r="G157" s="102" t="s">
        <v>158</v>
      </c>
      <c r="H157" s="102">
        <v>1</v>
      </c>
      <c r="I157" s="112">
        <v>3850000</v>
      </c>
      <c r="J157" s="107">
        <v>44627</v>
      </c>
      <c r="K157" s="104">
        <f t="shared" si="2"/>
        <v>3</v>
      </c>
      <c r="L157" s="102" t="s">
        <v>121</v>
      </c>
      <c r="M157" s="105">
        <f>(J157+HLOOKUP(L157,Waranty!$A$1:$H$2,2,TRUE))</f>
        <v>44657</v>
      </c>
      <c r="O157" s="102" t="s">
        <v>338</v>
      </c>
      <c r="P157" s="141" t="s">
        <v>162</v>
      </c>
      <c r="Q157" s="144" t="s">
        <v>267</v>
      </c>
    </row>
    <row r="158" spans="1:17" s="102" customFormat="1" ht="49.9" customHeight="1" x14ac:dyDescent="0.25">
      <c r="B158" s="102" t="s">
        <v>147</v>
      </c>
      <c r="C158" s="102" t="s">
        <v>138</v>
      </c>
      <c r="E158" s="102" t="s">
        <v>336</v>
      </c>
      <c r="F158" s="102" t="s">
        <v>339</v>
      </c>
      <c r="G158" s="102" t="s">
        <v>120</v>
      </c>
      <c r="H158" s="102">
        <v>1</v>
      </c>
      <c r="I158" s="112">
        <v>594000</v>
      </c>
      <c r="J158" s="107">
        <v>44628</v>
      </c>
      <c r="K158" s="104">
        <f t="shared" si="2"/>
        <v>3</v>
      </c>
      <c r="L158" s="102" t="s">
        <v>121</v>
      </c>
      <c r="M158" s="105">
        <f>(J158+HLOOKUP(L158,Waranty!$A$1:$H$2,2,TRUE))</f>
        <v>44658</v>
      </c>
      <c r="N158" s="102" t="s">
        <v>122</v>
      </c>
      <c r="O158" s="102" t="s">
        <v>123</v>
      </c>
      <c r="P158" s="141" t="s">
        <v>124</v>
      </c>
      <c r="Q158" s="142" t="s">
        <v>125</v>
      </c>
    </row>
    <row r="159" spans="1:17" s="102" customFormat="1" ht="49.9" customHeight="1" x14ac:dyDescent="0.25">
      <c r="B159" s="102" t="s">
        <v>116</v>
      </c>
      <c r="C159" s="102" t="s">
        <v>255</v>
      </c>
      <c r="E159" s="102" t="s">
        <v>336</v>
      </c>
      <c r="F159" s="102" t="s">
        <v>263</v>
      </c>
      <c r="G159" s="102" t="s">
        <v>234</v>
      </c>
      <c r="H159" s="102">
        <v>1</v>
      </c>
      <c r="I159" s="112">
        <v>836000</v>
      </c>
      <c r="J159" s="107">
        <v>44634</v>
      </c>
      <c r="K159" s="104">
        <f t="shared" si="2"/>
        <v>3</v>
      </c>
      <c r="L159" s="102" t="s">
        <v>135</v>
      </c>
      <c r="M159" s="105">
        <f>(J159+HLOOKUP(L159,Waranty!$A$1:$H$2,2,TRUE))</f>
        <v>44814</v>
      </c>
      <c r="N159" s="102" t="s">
        <v>122</v>
      </c>
      <c r="O159" s="102" t="s">
        <v>123</v>
      </c>
      <c r="P159" s="141" t="s">
        <v>124</v>
      </c>
      <c r="Q159" s="142" t="s">
        <v>125</v>
      </c>
    </row>
    <row r="160" spans="1:17" s="102" customFormat="1" ht="49.9" customHeight="1" x14ac:dyDescent="0.25">
      <c r="B160" s="102" t="s">
        <v>126</v>
      </c>
      <c r="C160" s="102" t="s">
        <v>155</v>
      </c>
      <c r="E160" s="102" t="s">
        <v>336</v>
      </c>
      <c r="F160" s="102" t="s">
        <v>340</v>
      </c>
      <c r="G160" s="102" t="s">
        <v>142</v>
      </c>
      <c r="H160" s="102">
        <v>1</v>
      </c>
      <c r="I160" s="112">
        <v>1375000</v>
      </c>
      <c r="J160" s="107">
        <v>44637</v>
      </c>
      <c r="K160" s="104">
        <f t="shared" si="2"/>
        <v>3</v>
      </c>
      <c r="L160" s="102" t="s">
        <v>121</v>
      </c>
      <c r="M160" s="105">
        <f>(J160+HLOOKUP(L160,Waranty!$A$1:$H$2,2,TRUE))</f>
        <v>44667</v>
      </c>
      <c r="N160" s="102" t="s">
        <v>122</v>
      </c>
      <c r="O160" s="102" t="s">
        <v>123</v>
      </c>
      <c r="P160" s="141" t="s">
        <v>124</v>
      </c>
      <c r="Q160" s="142" t="s">
        <v>125</v>
      </c>
    </row>
    <row r="161" spans="1:17" s="102" customFormat="1" ht="49.9" customHeight="1" x14ac:dyDescent="0.25">
      <c r="B161" s="102" t="s">
        <v>147</v>
      </c>
      <c r="C161" s="102" t="s">
        <v>117</v>
      </c>
      <c r="E161" s="102" t="s">
        <v>336</v>
      </c>
      <c r="F161" s="102" t="s">
        <v>229</v>
      </c>
      <c r="G161" s="102" t="s">
        <v>226</v>
      </c>
      <c r="H161" s="102">
        <v>1</v>
      </c>
      <c r="I161" s="112">
        <v>583000</v>
      </c>
      <c r="J161" s="107">
        <v>44637</v>
      </c>
      <c r="K161" s="104">
        <f t="shared" si="2"/>
        <v>3</v>
      </c>
      <c r="L161" s="102" t="s">
        <v>121</v>
      </c>
      <c r="M161" s="105">
        <f>(J161+HLOOKUP(L161,Waranty!$A$1:$H$2,2,TRUE))</f>
        <v>44667</v>
      </c>
      <c r="N161" s="102" t="s">
        <v>122</v>
      </c>
      <c r="O161" s="102" t="s">
        <v>123</v>
      </c>
      <c r="P161" s="141" t="s">
        <v>124</v>
      </c>
      <c r="Q161" s="142" t="s">
        <v>125</v>
      </c>
    </row>
    <row r="162" spans="1:17" s="102" customFormat="1" ht="49.9" customHeight="1" x14ac:dyDescent="0.25">
      <c r="B162" s="102" t="s">
        <v>116</v>
      </c>
      <c r="C162" s="102" t="s">
        <v>138</v>
      </c>
      <c r="E162" s="102" t="s">
        <v>336</v>
      </c>
      <c r="F162" s="102" t="s">
        <v>136</v>
      </c>
      <c r="G162" s="102" t="s">
        <v>137</v>
      </c>
      <c r="H162" s="102">
        <v>1</v>
      </c>
      <c r="I162" s="112">
        <v>605000</v>
      </c>
      <c r="J162" s="107">
        <v>44637</v>
      </c>
      <c r="K162" s="104">
        <f t="shared" si="2"/>
        <v>3</v>
      </c>
      <c r="L162" s="102" t="s">
        <v>121</v>
      </c>
      <c r="M162" s="105">
        <f>(J162+HLOOKUP(L162,Waranty!$A$1:$H$2,2,TRUE))</f>
        <v>44667</v>
      </c>
      <c r="N162" s="102" t="s">
        <v>122</v>
      </c>
      <c r="O162" s="102" t="s">
        <v>123</v>
      </c>
      <c r="P162" s="141" t="s">
        <v>124</v>
      </c>
      <c r="Q162" s="142" t="s">
        <v>125</v>
      </c>
    </row>
    <row r="163" spans="1:17" s="102" customFormat="1" ht="49.9" customHeight="1" x14ac:dyDescent="0.25">
      <c r="B163" s="102" t="s">
        <v>147</v>
      </c>
      <c r="C163" s="102" t="s">
        <v>117</v>
      </c>
      <c r="E163" s="102" t="s">
        <v>336</v>
      </c>
      <c r="F163" s="102" t="s">
        <v>341</v>
      </c>
      <c r="G163" s="102" t="s">
        <v>240</v>
      </c>
      <c r="H163" s="102">
        <v>1</v>
      </c>
      <c r="I163" s="112">
        <v>583000</v>
      </c>
      <c r="J163" s="107">
        <v>44637</v>
      </c>
      <c r="K163" s="104">
        <f t="shared" si="2"/>
        <v>3</v>
      </c>
      <c r="L163" s="102" t="s">
        <v>121</v>
      </c>
      <c r="M163" s="105">
        <f>(J163+HLOOKUP(L163,Waranty!$A$1:$H$2,2,TRUE))</f>
        <v>44667</v>
      </c>
      <c r="O163" s="102" t="s">
        <v>123</v>
      </c>
      <c r="P163" s="141" t="s">
        <v>124</v>
      </c>
      <c r="Q163" s="142" t="s">
        <v>125</v>
      </c>
    </row>
    <row r="164" spans="1:17" s="102" customFormat="1" ht="49.9" customHeight="1" x14ac:dyDescent="0.25">
      <c r="B164" s="102" t="s">
        <v>126</v>
      </c>
      <c r="C164" s="102" t="s">
        <v>131</v>
      </c>
      <c r="E164" s="102" t="s">
        <v>336</v>
      </c>
      <c r="F164" s="102" t="s">
        <v>342</v>
      </c>
      <c r="G164" s="102" t="s">
        <v>240</v>
      </c>
      <c r="H164" s="102">
        <v>1</v>
      </c>
      <c r="I164" s="112">
        <v>759000</v>
      </c>
      <c r="J164" s="107">
        <v>44637</v>
      </c>
      <c r="K164" s="104">
        <f t="shared" si="2"/>
        <v>3</v>
      </c>
      <c r="L164" s="102" t="s">
        <v>121</v>
      </c>
      <c r="M164" s="105">
        <f>(J164+HLOOKUP(L164,Waranty!$A$1:$H$2,2,TRUE))</f>
        <v>44667</v>
      </c>
      <c r="O164" s="102" t="s">
        <v>123</v>
      </c>
      <c r="P164" s="141" t="s">
        <v>124</v>
      </c>
      <c r="Q164" s="142" t="s">
        <v>125</v>
      </c>
    </row>
    <row r="165" spans="1:17" s="102" customFormat="1" ht="49.9" customHeight="1" x14ac:dyDescent="0.25">
      <c r="B165" s="102" t="s">
        <v>126</v>
      </c>
      <c r="C165" s="102" t="s">
        <v>155</v>
      </c>
      <c r="E165" s="102" t="s">
        <v>336</v>
      </c>
      <c r="F165" s="102" t="s">
        <v>343</v>
      </c>
      <c r="G165" s="102" t="s">
        <v>120</v>
      </c>
      <c r="H165" s="102">
        <v>1</v>
      </c>
      <c r="I165" s="112">
        <v>1375000</v>
      </c>
      <c r="J165" s="107">
        <v>44641</v>
      </c>
      <c r="K165" s="104">
        <f t="shared" si="2"/>
        <v>3</v>
      </c>
      <c r="L165" s="102" t="s">
        <v>121</v>
      </c>
      <c r="M165" s="105">
        <f>(J165+HLOOKUP(L165,Waranty!$A$1:$H$2,2,TRUE))</f>
        <v>44671</v>
      </c>
      <c r="N165" s="102" t="s">
        <v>122</v>
      </c>
      <c r="O165" s="102" t="s">
        <v>123</v>
      </c>
      <c r="P165" s="141" t="s">
        <v>124</v>
      </c>
      <c r="Q165" s="142" t="s">
        <v>125</v>
      </c>
    </row>
    <row r="166" spans="1:17" s="102" customFormat="1" ht="49.9" customHeight="1" x14ac:dyDescent="0.25">
      <c r="B166" s="102" t="s">
        <v>147</v>
      </c>
      <c r="C166" s="102" t="s">
        <v>117</v>
      </c>
      <c r="E166" s="102" t="s">
        <v>336</v>
      </c>
      <c r="F166" s="102" t="s">
        <v>344</v>
      </c>
      <c r="G166" s="102" t="s">
        <v>142</v>
      </c>
      <c r="H166" s="102">
        <v>1</v>
      </c>
      <c r="I166" s="112">
        <v>583000</v>
      </c>
      <c r="J166" s="107">
        <v>413902</v>
      </c>
      <c r="K166" s="104">
        <f t="shared" si="2"/>
        <v>3</v>
      </c>
      <c r="L166" s="102" t="s">
        <v>121</v>
      </c>
      <c r="M166" s="105">
        <f>(J166+HLOOKUP(L166,Waranty!$A$1:$H$2,2,TRUE))</f>
        <v>413932</v>
      </c>
      <c r="N166" s="102" t="s">
        <v>122</v>
      </c>
      <c r="O166" s="102" t="s">
        <v>123</v>
      </c>
      <c r="P166" s="141" t="s">
        <v>124</v>
      </c>
      <c r="Q166" s="142" t="s">
        <v>125</v>
      </c>
    </row>
    <row r="167" spans="1:17" s="102" customFormat="1" ht="49.9" customHeight="1" x14ac:dyDescent="0.25">
      <c r="B167" s="102" t="s">
        <v>147</v>
      </c>
      <c r="C167" s="102" t="s">
        <v>345</v>
      </c>
      <c r="E167" s="102" t="s">
        <v>336</v>
      </c>
      <c r="F167" s="102" t="s">
        <v>158</v>
      </c>
      <c r="G167" s="102" t="s">
        <v>158</v>
      </c>
      <c r="H167" s="102">
        <v>1</v>
      </c>
      <c r="I167" s="112">
        <v>990000</v>
      </c>
      <c r="J167" s="107">
        <v>44642</v>
      </c>
      <c r="K167" s="104">
        <f t="shared" si="2"/>
        <v>3</v>
      </c>
      <c r="L167" s="102" t="s">
        <v>121</v>
      </c>
      <c r="M167" s="105">
        <f>(J167+HLOOKUP(L167,Waranty!$A$1:$H$2,2,TRUE))</f>
        <v>44672</v>
      </c>
      <c r="O167" s="102" t="s">
        <v>123</v>
      </c>
      <c r="P167" s="141" t="s">
        <v>124</v>
      </c>
      <c r="Q167" s="142" t="s">
        <v>125</v>
      </c>
    </row>
    <row r="168" spans="1:17" s="102" customFormat="1" ht="49.9" customHeight="1" x14ac:dyDescent="0.25">
      <c r="B168" s="102" t="s">
        <v>346</v>
      </c>
      <c r="C168" s="102" t="s">
        <v>336</v>
      </c>
      <c r="E168" s="102" t="s">
        <v>336</v>
      </c>
      <c r="F168" s="102" t="s">
        <v>158</v>
      </c>
      <c r="G168" s="102" t="s">
        <v>158</v>
      </c>
      <c r="H168" s="102">
        <v>2</v>
      </c>
      <c r="I168" s="112">
        <v>847000</v>
      </c>
      <c r="J168" s="107">
        <v>44642</v>
      </c>
      <c r="K168" s="104">
        <f t="shared" si="2"/>
        <v>3</v>
      </c>
      <c r="L168" s="102" t="s">
        <v>121</v>
      </c>
      <c r="M168" s="105">
        <f>(J168+HLOOKUP(L168,Waranty!$A$1:$H$2,2,TRUE))</f>
        <v>44672</v>
      </c>
      <c r="O168" s="102" t="s">
        <v>123</v>
      </c>
      <c r="P168" s="141" t="s">
        <v>124</v>
      </c>
      <c r="Q168" s="142" t="s">
        <v>125</v>
      </c>
    </row>
    <row r="169" spans="1:17" s="102" customFormat="1" ht="49.9" customHeight="1" x14ac:dyDescent="0.25">
      <c r="B169" s="102" t="s">
        <v>116</v>
      </c>
      <c r="C169" s="148" t="s">
        <v>268</v>
      </c>
      <c r="E169" s="102" t="s">
        <v>336</v>
      </c>
      <c r="F169" s="102" t="s">
        <v>254</v>
      </c>
      <c r="G169" s="102" t="s">
        <v>146</v>
      </c>
      <c r="H169" s="102">
        <v>1</v>
      </c>
      <c r="I169" s="112">
        <v>1815000</v>
      </c>
      <c r="J169" s="107">
        <v>44645</v>
      </c>
      <c r="K169" s="104">
        <f t="shared" si="2"/>
        <v>3</v>
      </c>
      <c r="L169" s="102" t="s">
        <v>135</v>
      </c>
      <c r="M169" s="105">
        <f>(J169+HLOOKUP(L169,Waranty!$A$1:$H$2,2,TRUE))</f>
        <v>44825</v>
      </c>
      <c r="O169" s="102" t="s">
        <v>123</v>
      </c>
      <c r="P169" s="141" t="s">
        <v>124</v>
      </c>
      <c r="Q169" s="142" t="s">
        <v>125</v>
      </c>
    </row>
    <row r="170" spans="1:17" s="102" customFormat="1" ht="49.9" customHeight="1" x14ac:dyDescent="0.25">
      <c r="B170" s="102" t="s">
        <v>347</v>
      </c>
      <c r="F170" s="102" t="s">
        <v>348</v>
      </c>
      <c r="G170" s="102" t="s">
        <v>349</v>
      </c>
      <c r="H170" s="102">
        <v>1</v>
      </c>
      <c r="I170" s="112">
        <v>314500</v>
      </c>
      <c r="J170" s="105">
        <v>44645</v>
      </c>
      <c r="K170" s="104">
        <f t="shared" si="2"/>
        <v>3</v>
      </c>
      <c r="L170" s="102" t="s">
        <v>121</v>
      </c>
      <c r="M170" s="105">
        <f>(J170+HLOOKUP(L170,Waranty!$A$1:$H$2,2,TRUE))</f>
        <v>44675</v>
      </c>
      <c r="O170" s="102" t="s">
        <v>123</v>
      </c>
      <c r="P170" s="141" t="s">
        <v>124</v>
      </c>
      <c r="Q170" s="142" t="s">
        <v>125</v>
      </c>
    </row>
    <row r="171" spans="1:17" s="102" customFormat="1" ht="49.9" customHeight="1" x14ac:dyDescent="0.25">
      <c r="B171" s="102" t="s">
        <v>126</v>
      </c>
      <c r="C171" s="102" t="s">
        <v>155</v>
      </c>
      <c r="F171" s="102" t="s">
        <v>350</v>
      </c>
      <c r="G171" s="102" t="s">
        <v>140</v>
      </c>
      <c r="H171" s="102">
        <v>1</v>
      </c>
      <c r="I171" s="112">
        <v>1375000</v>
      </c>
      <c r="J171" s="105">
        <v>44651</v>
      </c>
      <c r="K171" s="104">
        <f t="shared" si="2"/>
        <v>3</v>
      </c>
      <c r="L171" s="102" t="s">
        <v>121</v>
      </c>
      <c r="M171" s="105">
        <f>(J171+HLOOKUP(L171,Waranty!$A$1:$H$2,2,TRUE))</f>
        <v>44681</v>
      </c>
      <c r="O171" s="102" t="s">
        <v>123</v>
      </c>
      <c r="P171" s="141" t="s">
        <v>124</v>
      </c>
      <c r="Q171" s="142" t="s">
        <v>125</v>
      </c>
    </row>
    <row r="172" spans="1:17" s="102" customFormat="1" ht="49.9" customHeight="1" x14ac:dyDescent="0.25">
      <c r="A172" s="143"/>
      <c r="B172" s="102" t="s">
        <v>157</v>
      </c>
      <c r="F172" s="102" t="s">
        <v>158</v>
      </c>
      <c r="G172" s="102" t="s">
        <v>28</v>
      </c>
      <c r="I172" s="112">
        <v>3910000</v>
      </c>
      <c r="J172" s="103">
        <v>44287</v>
      </c>
      <c r="K172" s="104">
        <f t="shared" si="2"/>
        <v>4</v>
      </c>
      <c r="L172" s="102" t="s">
        <v>159</v>
      </c>
      <c r="M172" s="105">
        <f>(J172+HLOOKUP(L172,Waranty!$A$1:$H$2,2,TRUE))</f>
        <v>44317</v>
      </c>
      <c r="N172" s="102" t="s">
        <v>160</v>
      </c>
      <c r="O172" s="102" t="s">
        <v>230</v>
      </c>
      <c r="P172" s="141" t="s">
        <v>162</v>
      </c>
      <c r="Q172" s="144" t="s">
        <v>163</v>
      </c>
    </row>
    <row r="173" spans="1:17" s="102" customFormat="1" ht="49.9" customHeight="1" x14ac:dyDescent="0.25">
      <c r="A173" s="143"/>
      <c r="B173" s="102" t="s">
        <v>157</v>
      </c>
      <c r="F173" s="102" t="s">
        <v>158</v>
      </c>
      <c r="G173" s="102" t="s">
        <v>332</v>
      </c>
      <c r="I173" s="112">
        <v>660000</v>
      </c>
      <c r="J173" s="103">
        <v>44287</v>
      </c>
      <c r="K173" s="104">
        <f t="shared" si="2"/>
        <v>4</v>
      </c>
      <c r="L173" s="102" t="s">
        <v>159</v>
      </c>
      <c r="M173" s="105">
        <f>(J173+HLOOKUP(L173,Waranty!$A$1:$H$2,2,TRUE))</f>
        <v>44317</v>
      </c>
      <c r="N173" s="102" t="s">
        <v>160</v>
      </c>
      <c r="O173" s="102" t="s">
        <v>230</v>
      </c>
      <c r="P173" s="141" t="s">
        <v>162</v>
      </c>
      <c r="Q173" s="144" t="s">
        <v>163</v>
      </c>
    </row>
    <row r="174" spans="1:17" s="102" customFormat="1" ht="49.9" customHeight="1" x14ac:dyDescent="0.25">
      <c r="B174" s="102" t="s">
        <v>211</v>
      </c>
      <c r="C174" s="102" t="s">
        <v>155</v>
      </c>
      <c r="F174" s="102" t="s">
        <v>224</v>
      </c>
      <c r="G174" s="102" t="s">
        <v>140</v>
      </c>
      <c r="H174" s="102">
        <v>1</v>
      </c>
      <c r="I174" s="112">
        <v>605000</v>
      </c>
      <c r="J174" s="105">
        <v>44653</v>
      </c>
      <c r="K174" s="104">
        <f t="shared" si="2"/>
        <v>4</v>
      </c>
      <c r="L174" s="102" t="s">
        <v>214</v>
      </c>
      <c r="M174" s="105">
        <f>(J174+HLOOKUP(L174,Waranty!$A$1:$H$2,2,TRUE))</f>
        <v>44743</v>
      </c>
      <c r="N174" s="102" t="s">
        <v>215</v>
      </c>
      <c r="O174" s="102" t="s">
        <v>123</v>
      </c>
      <c r="P174" s="141" t="s">
        <v>124</v>
      </c>
      <c r="Q174" s="142" t="s">
        <v>125</v>
      </c>
    </row>
    <row r="175" spans="1:17" s="102" customFormat="1" ht="49.9" customHeight="1" x14ac:dyDescent="0.25">
      <c r="B175" s="102" t="s">
        <v>351</v>
      </c>
      <c r="C175" s="102" t="s">
        <v>155</v>
      </c>
      <c r="F175" s="102" t="s">
        <v>224</v>
      </c>
      <c r="G175" s="102" t="s">
        <v>140</v>
      </c>
      <c r="H175" s="102">
        <v>1</v>
      </c>
      <c r="I175" s="112">
        <v>495000</v>
      </c>
      <c r="J175" s="105">
        <v>44653</v>
      </c>
      <c r="K175" s="104">
        <f t="shared" si="2"/>
        <v>4</v>
      </c>
      <c r="L175" s="102" t="s">
        <v>159</v>
      </c>
      <c r="M175" s="105">
        <f>(J175+HLOOKUP(L175,Waranty!$A$1:$H$2,2,TRUE))</f>
        <v>44683</v>
      </c>
      <c r="O175" s="102" t="s">
        <v>123</v>
      </c>
      <c r="P175" s="141" t="s">
        <v>124</v>
      </c>
      <c r="Q175" s="142" t="s">
        <v>125</v>
      </c>
    </row>
    <row r="176" spans="1:17" s="102" customFormat="1" ht="49.9" customHeight="1" x14ac:dyDescent="0.25">
      <c r="B176" s="102" t="s">
        <v>126</v>
      </c>
      <c r="C176" s="102" t="s">
        <v>155</v>
      </c>
      <c r="F176" s="102" t="s">
        <v>352</v>
      </c>
      <c r="G176" s="102" t="s">
        <v>213</v>
      </c>
      <c r="H176" s="102">
        <v>1</v>
      </c>
      <c r="I176" s="112">
        <v>1375000</v>
      </c>
      <c r="J176" s="105">
        <v>44657</v>
      </c>
      <c r="K176" s="104">
        <f t="shared" si="2"/>
        <v>4</v>
      </c>
      <c r="L176" s="102" t="s">
        <v>121</v>
      </c>
      <c r="M176" s="105">
        <f>(J176+HLOOKUP(L176,Waranty!$A$1:$H$2,2,TRUE))</f>
        <v>44687</v>
      </c>
      <c r="O176" s="102" t="s">
        <v>123</v>
      </c>
      <c r="P176" s="141" t="s">
        <v>124</v>
      </c>
      <c r="Q176" s="142" t="s">
        <v>125</v>
      </c>
    </row>
    <row r="177" spans="2:17" s="102" customFormat="1" ht="49.9" customHeight="1" x14ac:dyDescent="0.25">
      <c r="B177" s="102" t="s">
        <v>353</v>
      </c>
      <c r="C177" s="102" t="s">
        <v>117</v>
      </c>
      <c r="F177" s="102" t="s">
        <v>288</v>
      </c>
      <c r="G177" s="102" t="s">
        <v>226</v>
      </c>
      <c r="H177" s="102">
        <v>1</v>
      </c>
      <c r="I177" s="112">
        <v>1155000</v>
      </c>
      <c r="J177" s="105">
        <v>44659</v>
      </c>
      <c r="K177" s="104">
        <f t="shared" si="2"/>
        <v>4</v>
      </c>
      <c r="L177" s="102" t="s">
        <v>159</v>
      </c>
      <c r="M177" s="105">
        <f>(J177+HLOOKUP(L177,Waranty!$A$1:$H$2,2,TRUE))</f>
        <v>44689</v>
      </c>
      <c r="N177" s="102" t="s">
        <v>122</v>
      </c>
      <c r="O177" s="102" t="s">
        <v>123</v>
      </c>
      <c r="P177" s="141" t="s">
        <v>124</v>
      </c>
      <c r="Q177" s="142" t="s">
        <v>125</v>
      </c>
    </row>
    <row r="178" spans="2:17" s="102" customFormat="1" ht="49.9" customHeight="1" x14ac:dyDescent="0.25">
      <c r="B178" s="102" t="s">
        <v>353</v>
      </c>
      <c r="C178" s="102" t="s">
        <v>117</v>
      </c>
      <c r="F178" s="102" t="s">
        <v>354</v>
      </c>
      <c r="G178" s="102" t="s">
        <v>213</v>
      </c>
      <c r="H178" s="102">
        <v>1</v>
      </c>
      <c r="I178" s="112">
        <v>1155000</v>
      </c>
      <c r="J178" s="105">
        <v>44659</v>
      </c>
      <c r="K178" s="104">
        <f t="shared" si="2"/>
        <v>4</v>
      </c>
      <c r="L178" s="102" t="s">
        <v>159</v>
      </c>
      <c r="M178" s="105">
        <f>(J178+HLOOKUP(L178,Waranty!$A$1:$H$2,2,TRUE))</f>
        <v>44689</v>
      </c>
      <c r="O178" s="102" t="s">
        <v>123</v>
      </c>
      <c r="P178" s="141" t="s">
        <v>124</v>
      </c>
      <c r="Q178" s="142" t="s">
        <v>125</v>
      </c>
    </row>
    <row r="179" spans="2:17" s="102" customFormat="1" ht="49.9" customHeight="1" x14ac:dyDescent="0.25">
      <c r="B179" s="102" t="s">
        <v>143</v>
      </c>
      <c r="C179" s="102" t="s">
        <v>117</v>
      </c>
      <c r="F179" s="102" t="s">
        <v>354</v>
      </c>
      <c r="G179" s="102" t="s">
        <v>213</v>
      </c>
      <c r="H179" s="102">
        <v>1</v>
      </c>
      <c r="I179" s="112">
        <v>2145000</v>
      </c>
      <c r="J179" s="105">
        <v>44659</v>
      </c>
      <c r="K179" s="104">
        <f t="shared" si="2"/>
        <v>4</v>
      </c>
      <c r="L179" s="102" t="s">
        <v>135</v>
      </c>
      <c r="M179" s="105">
        <f>(J179+HLOOKUP(L179,Waranty!$A$1:$H$2,2,TRUE))</f>
        <v>44839</v>
      </c>
      <c r="N179" s="102" t="s">
        <v>122</v>
      </c>
      <c r="O179" s="102" t="s">
        <v>123</v>
      </c>
      <c r="P179" s="141" t="s">
        <v>124</v>
      </c>
      <c r="Q179" s="142" t="s">
        <v>125</v>
      </c>
    </row>
    <row r="180" spans="2:17" s="102" customFormat="1" ht="49.9" customHeight="1" x14ac:dyDescent="0.25">
      <c r="B180" s="102" t="s">
        <v>186</v>
      </c>
      <c r="F180" s="102" t="s">
        <v>158</v>
      </c>
      <c r="G180" s="102" t="s">
        <v>120</v>
      </c>
      <c r="H180" s="102">
        <v>1</v>
      </c>
      <c r="I180" s="112">
        <v>1470000</v>
      </c>
      <c r="J180" s="105">
        <v>44665</v>
      </c>
      <c r="K180" s="104">
        <f t="shared" si="2"/>
        <v>4</v>
      </c>
      <c r="L180" s="102" t="s">
        <v>121</v>
      </c>
      <c r="M180" s="105">
        <f>(J180+HLOOKUP(L180,Waranty!$A$1:$H$2,2,TRUE))</f>
        <v>44695</v>
      </c>
      <c r="N180" s="102" t="s">
        <v>160</v>
      </c>
      <c r="O180" s="102" t="s">
        <v>123</v>
      </c>
      <c r="P180" s="141" t="s">
        <v>173</v>
      </c>
      <c r="Q180" s="147" t="s">
        <v>187</v>
      </c>
    </row>
    <row r="181" spans="2:17" s="102" customFormat="1" ht="49.9" customHeight="1" x14ac:dyDescent="0.25">
      <c r="B181" s="102" t="s">
        <v>126</v>
      </c>
      <c r="C181" s="102" t="s">
        <v>155</v>
      </c>
      <c r="F181" s="102" t="s">
        <v>355</v>
      </c>
      <c r="G181" s="102" t="s">
        <v>137</v>
      </c>
      <c r="H181" s="102">
        <v>1</v>
      </c>
      <c r="I181" s="112">
        <v>1210000</v>
      </c>
      <c r="J181" s="105">
        <v>44613</v>
      </c>
      <c r="K181" s="104">
        <f t="shared" si="2"/>
        <v>2</v>
      </c>
      <c r="L181" s="102" t="s">
        <v>121</v>
      </c>
      <c r="M181" s="105">
        <f>(J181+HLOOKUP(L181,Waranty!$A$1:$H$2,2,TRUE))</f>
        <v>44643</v>
      </c>
      <c r="N181" s="102" t="s">
        <v>122</v>
      </c>
      <c r="O181" s="102" t="s">
        <v>167</v>
      </c>
      <c r="P181" s="141" t="s">
        <v>124</v>
      </c>
      <c r="Q181" s="142" t="s">
        <v>125</v>
      </c>
    </row>
    <row r="182" spans="2:17" s="102" customFormat="1" ht="49.9" customHeight="1" x14ac:dyDescent="0.25">
      <c r="B182" s="102" t="s">
        <v>116</v>
      </c>
      <c r="C182" s="102" t="s">
        <v>155</v>
      </c>
      <c r="F182" s="102" t="s">
        <v>356</v>
      </c>
      <c r="G182" s="102" t="s">
        <v>191</v>
      </c>
      <c r="H182" s="102">
        <v>1</v>
      </c>
      <c r="I182" s="112">
        <v>759000</v>
      </c>
      <c r="J182" s="105">
        <v>44670</v>
      </c>
      <c r="K182" s="104">
        <f t="shared" si="2"/>
        <v>4</v>
      </c>
      <c r="L182" s="102" t="s">
        <v>121</v>
      </c>
      <c r="M182" s="105">
        <f>(J182+HLOOKUP(L182,Waranty!$A$1:$H$2,2,TRUE))</f>
        <v>44700</v>
      </c>
      <c r="O182" s="102" t="s">
        <v>123</v>
      </c>
      <c r="P182" s="141" t="s">
        <v>124</v>
      </c>
      <c r="Q182" s="142" t="s">
        <v>125</v>
      </c>
    </row>
    <row r="183" spans="2:17" s="102" customFormat="1" ht="49.9" customHeight="1" x14ac:dyDescent="0.25">
      <c r="B183" s="102" t="s">
        <v>186</v>
      </c>
      <c r="F183" s="102" t="s">
        <v>158</v>
      </c>
      <c r="G183" s="102" t="s">
        <v>226</v>
      </c>
      <c r="H183" s="102">
        <v>1</v>
      </c>
      <c r="I183" s="112">
        <v>1470000</v>
      </c>
      <c r="J183" s="105">
        <v>44671</v>
      </c>
      <c r="K183" s="104">
        <f t="shared" si="2"/>
        <v>4</v>
      </c>
      <c r="L183" s="102" t="s">
        <v>121</v>
      </c>
      <c r="M183" s="105">
        <f>(J183+HLOOKUP(L183,Waranty!$A$1:$H$2,2,TRUE))</f>
        <v>44701</v>
      </c>
      <c r="N183" s="102" t="s">
        <v>160</v>
      </c>
      <c r="O183" s="102" t="s">
        <v>123</v>
      </c>
      <c r="P183" s="141" t="s">
        <v>173</v>
      </c>
      <c r="Q183" s="147" t="s">
        <v>187</v>
      </c>
    </row>
    <row r="184" spans="2:17" s="102" customFormat="1" ht="49.9" customHeight="1" x14ac:dyDescent="0.25">
      <c r="B184" s="102" t="s">
        <v>147</v>
      </c>
      <c r="C184" s="102" t="s">
        <v>117</v>
      </c>
      <c r="F184" s="102" t="s">
        <v>322</v>
      </c>
      <c r="G184" s="102" t="s">
        <v>149</v>
      </c>
      <c r="H184" s="102">
        <v>1</v>
      </c>
      <c r="I184" s="112">
        <v>583000</v>
      </c>
      <c r="J184" s="105">
        <v>44672</v>
      </c>
      <c r="K184" s="104">
        <f t="shared" si="2"/>
        <v>4</v>
      </c>
      <c r="L184" s="102" t="s">
        <v>121</v>
      </c>
      <c r="M184" s="105">
        <f>(J184+HLOOKUP(L184,Waranty!$A$1:$H$2,2,TRUE))</f>
        <v>44702</v>
      </c>
      <c r="O184" s="102" t="s">
        <v>123</v>
      </c>
      <c r="P184" s="141" t="s">
        <v>124</v>
      </c>
      <c r="Q184" s="142" t="s">
        <v>125</v>
      </c>
    </row>
    <row r="185" spans="2:17" s="102" customFormat="1" ht="87" customHeight="1" x14ac:dyDescent="0.25">
      <c r="B185" s="102" t="s">
        <v>126</v>
      </c>
      <c r="C185" s="102" t="s">
        <v>155</v>
      </c>
      <c r="F185" s="102" t="s">
        <v>281</v>
      </c>
      <c r="G185" s="102" t="s">
        <v>134</v>
      </c>
      <c r="H185" s="102">
        <v>1</v>
      </c>
      <c r="I185" s="112">
        <v>1320000</v>
      </c>
      <c r="J185" s="126">
        <v>44678</v>
      </c>
      <c r="K185" s="104">
        <f t="shared" si="2"/>
        <v>4</v>
      </c>
      <c r="L185" s="102" t="s">
        <v>121</v>
      </c>
      <c r="M185" s="105">
        <f>(J185+HLOOKUP(L185,Waranty!$A$1:$H$2,2,TRUE))</f>
        <v>44708</v>
      </c>
      <c r="N185" s="102" t="s">
        <v>122</v>
      </c>
      <c r="O185" s="102" t="s">
        <v>167</v>
      </c>
      <c r="P185" s="141" t="s">
        <v>124</v>
      </c>
      <c r="Q185" s="142" t="s">
        <v>125</v>
      </c>
    </row>
    <row r="186" spans="2:17" s="102" customFormat="1" ht="49.9" customHeight="1" x14ac:dyDescent="0.25">
      <c r="B186" s="102" t="s">
        <v>126</v>
      </c>
      <c r="C186" s="102" t="s">
        <v>155</v>
      </c>
      <c r="F186" s="102" t="s">
        <v>354</v>
      </c>
      <c r="G186" s="102" t="s">
        <v>213</v>
      </c>
      <c r="H186" s="102">
        <v>1</v>
      </c>
      <c r="I186" s="112">
        <v>1320000</v>
      </c>
      <c r="J186" s="105">
        <v>44678</v>
      </c>
      <c r="K186" s="104">
        <f t="shared" si="2"/>
        <v>4</v>
      </c>
      <c r="L186" s="102" t="s">
        <v>121</v>
      </c>
      <c r="M186" s="105">
        <f>(J186+HLOOKUP(L186,Waranty!$A$1:$H$2,2,TRUE))</f>
        <v>44708</v>
      </c>
      <c r="O186" s="102" t="s">
        <v>167</v>
      </c>
      <c r="P186" s="141" t="s">
        <v>124</v>
      </c>
      <c r="Q186" s="142" t="s">
        <v>125</v>
      </c>
    </row>
    <row r="187" spans="2:17" s="102" customFormat="1" ht="49.9" customHeight="1" x14ac:dyDescent="0.25">
      <c r="B187" s="102" t="s">
        <v>126</v>
      </c>
      <c r="C187" s="102" t="s">
        <v>155</v>
      </c>
      <c r="F187" s="102" t="s">
        <v>357</v>
      </c>
      <c r="G187" s="102" t="s">
        <v>240</v>
      </c>
      <c r="H187" s="102">
        <v>1</v>
      </c>
      <c r="I187" s="112">
        <v>1320000</v>
      </c>
      <c r="J187" s="105">
        <v>44678</v>
      </c>
      <c r="K187" s="104">
        <f t="shared" si="2"/>
        <v>4</v>
      </c>
      <c r="L187" s="102" t="s">
        <v>121</v>
      </c>
      <c r="M187" s="105">
        <f>(J187+HLOOKUP(L187,Waranty!$A$1:$H$2,2,TRUE))</f>
        <v>44708</v>
      </c>
      <c r="O187" s="102" t="s">
        <v>167</v>
      </c>
      <c r="P187" s="141" t="s">
        <v>124</v>
      </c>
      <c r="Q187" s="142" t="s">
        <v>125</v>
      </c>
    </row>
    <row r="188" spans="2:17" s="102" customFormat="1" ht="49.9" customHeight="1" x14ac:dyDescent="0.25">
      <c r="B188" s="102" t="s">
        <v>358</v>
      </c>
      <c r="F188" s="102" t="s">
        <v>158</v>
      </c>
      <c r="G188" s="102" t="s">
        <v>158</v>
      </c>
      <c r="H188" s="102">
        <v>1</v>
      </c>
      <c r="I188" s="112">
        <v>1080000</v>
      </c>
      <c r="J188" s="105">
        <v>44678</v>
      </c>
      <c r="K188" s="104">
        <f t="shared" si="2"/>
        <v>4</v>
      </c>
      <c r="L188" s="102" t="s">
        <v>154</v>
      </c>
      <c r="M188" s="105">
        <f>(J188+HLOOKUP(L188,Waranty!$A$1:$H$2,2,TRUE))</f>
        <v>44768</v>
      </c>
      <c r="N188" s="102" t="s">
        <v>160</v>
      </c>
      <c r="O188" s="102" t="s">
        <v>183</v>
      </c>
      <c r="P188" s="141" t="s">
        <v>162</v>
      </c>
      <c r="Q188" s="144" t="s">
        <v>184</v>
      </c>
    </row>
    <row r="189" spans="2:17" s="102" customFormat="1" ht="49.9" customHeight="1" x14ac:dyDescent="0.25">
      <c r="B189" s="102" t="s">
        <v>359</v>
      </c>
      <c r="F189" s="102" t="s">
        <v>158</v>
      </c>
      <c r="G189" s="102" t="s">
        <v>158</v>
      </c>
      <c r="H189" s="102">
        <v>1</v>
      </c>
      <c r="I189" s="112">
        <v>1380000</v>
      </c>
      <c r="J189" s="105">
        <v>44678</v>
      </c>
      <c r="K189" s="104">
        <f t="shared" ref="K189:K210" si="3">MONTH(J189)</f>
        <v>4</v>
      </c>
      <c r="L189" s="102" t="s">
        <v>154</v>
      </c>
      <c r="M189" s="105">
        <f>(J189+HLOOKUP(L189,Waranty!$A$1:$H$2,2,TRUE))</f>
        <v>44768</v>
      </c>
      <c r="N189" s="102" t="s">
        <v>160</v>
      </c>
      <c r="O189" s="102" t="s">
        <v>183</v>
      </c>
      <c r="P189" s="141" t="s">
        <v>162</v>
      </c>
      <c r="Q189" s="144" t="s">
        <v>184</v>
      </c>
    </row>
    <row r="190" spans="2:17" s="102" customFormat="1" ht="49.9" customHeight="1" x14ac:dyDescent="0.25">
      <c r="B190" s="102" t="s">
        <v>182</v>
      </c>
      <c r="F190" s="102" t="s">
        <v>158</v>
      </c>
      <c r="G190" s="102" t="s">
        <v>158</v>
      </c>
      <c r="H190" s="102">
        <v>1</v>
      </c>
      <c r="I190" s="112">
        <v>319000</v>
      </c>
      <c r="J190" s="105">
        <v>44678</v>
      </c>
      <c r="K190" s="104">
        <f t="shared" si="3"/>
        <v>4</v>
      </c>
      <c r="L190" s="102" t="s">
        <v>121</v>
      </c>
      <c r="M190" s="105">
        <f>(J190+HLOOKUP(L190,Waranty!$A$1:$H$2,2,TRUE))</f>
        <v>44708</v>
      </c>
      <c r="N190" s="102" t="s">
        <v>160</v>
      </c>
      <c r="O190" s="102" t="s">
        <v>183</v>
      </c>
      <c r="P190" s="141" t="s">
        <v>162</v>
      </c>
      <c r="Q190" s="144" t="s">
        <v>184</v>
      </c>
    </row>
    <row r="191" spans="2:17" s="102" customFormat="1" ht="49.9" customHeight="1" x14ac:dyDescent="0.25">
      <c r="B191" s="102" t="s">
        <v>360</v>
      </c>
      <c r="F191" s="102" t="s">
        <v>158</v>
      </c>
      <c r="G191" s="102" t="s">
        <v>158</v>
      </c>
      <c r="H191" s="102">
        <v>1</v>
      </c>
      <c r="I191" s="112">
        <v>4500000</v>
      </c>
      <c r="J191" s="105">
        <v>44678</v>
      </c>
      <c r="K191" s="104">
        <f t="shared" si="3"/>
        <v>4</v>
      </c>
      <c r="L191" s="102" t="s">
        <v>121</v>
      </c>
      <c r="M191" s="105">
        <f>(J191+HLOOKUP(L191,Waranty!$A$1:$H$2,2,TRUE))</f>
        <v>44708</v>
      </c>
      <c r="O191" s="102" t="s">
        <v>361</v>
      </c>
      <c r="P191" s="141" t="s">
        <v>162</v>
      </c>
      <c r="Q191" s="144" t="s">
        <v>267</v>
      </c>
    </row>
    <row r="192" spans="2:17" s="102" customFormat="1" ht="49.9" customHeight="1" x14ac:dyDescent="0.25">
      <c r="B192" s="102" t="s">
        <v>362</v>
      </c>
      <c r="F192" s="102" t="s">
        <v>363</v>
      </c>
      <c r="G192" s="102" t="s">
        <v>39</v>
      </c>
      <c r="H192" s="102">
        <v>1</v>
      </c>
      <c r="I192" s="112">
        <v>19750000</v>
      </c>
      <c r="J192" s="105">
        <v>44678</v>
      </c>
      <c r="K192" s="104">
        <f t="shared" si="3"/>
        <v>4</v>
      </c>
      <c r="L192" s="102" t="s">
        <v>121</v>
      </c>
      <c r="M192" s="105">
        <f>(J192+HLOOKUP(L192,Waranty!$A$1:$H$2,2,TRUE))</f>
        <v>44708</v>
      </c>
      <c r="O192" s="102" t="s">
        <v>364</v>
      </c>
      <c r="P192" s="141" t="s">
        <v>124</v>
      </c>
      <c r="Q192" s="144" t="s">
        <v>53</v>
      </c>
    </row>
    <row r="193" spans="1:17" s="102" customFormat="1" ht="49.9" customHeight="1" x14ac:dyDescent="0.25">
      <c r="B193" s="102" t="s">
        <v>301</v>
      </c>
      <c r="F193" s="102" t="s">
        <v>158</v>
      </c>
      <c r="G193" s="102" t="s">
        <v>28</v>
      </c>
      <c r="H193" s="152">
        <v>45</v>
      </c>
      <c r="I193" s="112">
        <v>174240000</v>
      </c>
      <c r="J193" s="105">
        <v>44678</v>
      </c>
      <c r="K193" s="104">
        <f t="shared" si="3"/>
        <v>4</v>
      </c>
      <c r="L193" s="102" t="s">
        <v>365</v>
      </c>
      <c r="M193" s="105">
        <f>(J193+HLOOKUP(L193,Waranty!$A$1:$H$2,2,TRUE))</f>
        <v>44768</v>
      </c>
      <c r="O193" s="102" t="s">
        <v>302</v>
      </c>
      <c r="P193" s="141" t="s">
        <v>124</v>
      </c>
      <c r="Q193" s="150" t="s">
        <v>55</v>
      </c>
    </row>
    <row r="194" spans="1:17" s="102" customFormat="1" ht="49.9" customHeight="1" x14ac:dyDescent="0.25">
      <c r="A194" s="143"/>
      <c r="B194" s="102" t="s">
        <v>157</v>
      </c>
      <c r="F194" s="102" t="s">
        <v>158</v>
      </c>
      <c r="G194" s="102" t="s">
        <v>28</v>
      </c>
      <c r="I194" s="112">
        <v>3910000</v>
      </c>
      <c r="J194" s="103">
        <v>44317</v>
      </c>
      <c r="K194" s="104">
        <f t="shared" si="3"/>
        <v>5</v>
      </c>
      <c r="L194" s="102" t="s">
        <v>159</v>
      </c>
      <c r="M194" s="105">
        <f>(J194+HLOOKUP(L194,Waranty!$A$1:$H$2,2,TRUE))</f>
        <v>44347</v>
      </c>
      <c r="N194" s="102" t="s">
        <v>160</v>
      </c>
      <c r="O194" s="102" t="s">
        <v>230</v>
      </c>
      <c r="P194" s="141" t="s">
        <v>162</v>
      </c>
      <c r="Q194" s="144" t="s">
        <v>163</v>
      </c>
    </row>
    <row r="195" spans="1:17" s="102" customFormat="1" ht="49.9" customHeight="1" x14ac:dyDescent="0.25">
      <c r="A195" s="143"/>
      <c r="B195" s="102" t="s">
        <v>157</v>
      </c>
      <c r="F195" s="102" t="s">
        <v>158</v>
      </c>
      <c r="G195" s="102" t="s">
        <v>332</v>
      </c>
      <c r="I195" s="112">
        <v>660000</v>
      </c>
      <c r="J195" s="103">
        <v>44317</v>
      </c>
      <c r="K195" s="104">
        <f t="shared" si="3"/>
        <v>5</v>
      </c>
      <c r="L195" s="102" t="s">
        <v>159</v>
      </c>
      <c r="M195" s="105">
        <f>(J195+HLOOKUP(L195,Waranty!$A$1:$H$2,2,TRUE))</f>
        <v>44347</v>
      </c>
      <c r="N195" s="102" t="s">
        <v>160</v>
      </c>
      <c r="O195" s="102" t="s">
        <v>230</v>
      </c>
      <c r="P195" s="141" t="s">
        <v>162</v>
      </c>
      <c r="Q195" s="144" t="s">
        <v>163</v>
      </c>
    </row>
    <row r="196" spans="1:17" s="102" customFormat="1" ht="49.9" customHeight="1" x14ac:dyDescent="0.25">
      <c r="A196" s="143"/>
      <c r="B196" s="102" t="s">
        <v>157</v>
      </c>
      <c r="F196" s="102" t="s">
        <v>158</v>
      </c>
      <c r="G196" s="102" t="s">
        <v>28</v>
      </c>
      <c r="I196" s="112">
        <v>7741500</v>
      </c>
      <c r="J196" s="103">
        <v>44317</v>
      </c>
      <c r="K196" s="104">
        <f t="shared" si="3"/>
        <v>5</v>
      </c>
      <c r="L196" s="102" t="s">
        <v>121</v>
      </c>
      <c r="M196" s="105">
        <f>(J196+HLOOKUP(L196,Waranty!$A$1:$H$2,2,TRUE))</f>
        <v>44347</v>
      </c>
      <c r="N196" s="102" t="s">
        <v>160</v>
      </c>
      <c r="O196" s="102" t="s">
        <v>333</v>
      </c>
      <c r="P196" s="141" t="s">
        <v>162</v>
      </c>
      <c r="Q196" s="144" t="s">
        <v>163</v>
      </c>
    </row>
    <row r="197" spans="1:17" s="102" customFormat="1" ht="49.9" customHeight="1" x14ac:dyDescent="0.25">
      <c r="A197" s="143"/>
      <c r="B197" s="102" t="s">
        <v>157</v>
      </c>
      <c r="F197" s="102" t="s">
        <v>158</v>
      </c>
      <c r="G197" s="102" t="s">
        <v>28</v>
      </c>
      <c r="I197" s="112">
        <v>7741500</v>
      </c>
      <c r="J197" s="103">
        <v>44317</v>
      </c>
      <c r="K197" s="104">
        <f t="shared" si="3"/>
        <v>5</v>
      </c>
      <c r="L197" s="102" t="s">
        <v>121</v>
      </c>
      <c r="M197" s="105">
        <f>(J197+HLOOKUP(L197,Waranty!$A$1:$H$2,2,TRUE))</f>
        <v>44347</v>
      </c>
      <c r="N197" s="102" t="s">
        <v>160</v>
      </c>
      <c r="O197" s="102" t="s">
        <v>333</v>
      </c>
      <c r="P197" s="141" t="s">
        <v>162</v>
      </c>
      <c r="Q197" s="144" t="s">
        <v>163</v>
      </c>
    </row>
    <row r="198" spans="1:17" s="102" customFormat="1" ht="49.9" customHeight="1" x14ac:dyDescent="0.25">
      <c r="B198" s="102" t="s">
        <v>147</v>
      </c>
      <c r="C198" s="102" t="s">
        <v>117</v>
      </c>
      <c r="F198" s="102" t="s">
        <v>366</v>
      </c>
      <c r="G198" s="102" t="s">
        <v>149</v>
      </c>
      <c r="H198" s="102">
        <v>1</v>
      </c>
      <c r="I198" s="112">
        <v>583000</v>
      </c>
      <c r="J198" s="153">
        <v>44685</v>
      </c>
      <c r="K198" s="104">
        <f t="shared" si="3"/>
        <v>5</v>
      </c>
      <c r="L198" s="102" t="s">
        <v>121</v>
      </c>
      <c r="M198" s="105">
        <f>(J198+HLOOKUP(L198,Waranty!$A$1:$H$2,2,TRUE))</f>
        <v>44715</v>
      </c>
      <c r="O198" s="102" t="s">
        <v>123</v>
      </c>
      <c r="P198" s="141" t="s">
        <v>124</v>
      </c>
      <c r="Q198" s="142" t="s">
        <v>125</v>
      </c>
    </row>
    <row r="199" spans="1:17" s="102" customFormat="1" ht="49.9" customHeight="1" x14ac:dyDescent="0.25">
      <c r="B199" s="102" t="s">
        <v>353</v>
      </c>
      <c r="C199" s="102" t="s">
        <v>117</v>
      </c>
      <c r="F199" s="102" t="s">
        <v>220</v>
      </c>
      <c r="G199" s="102" t="s">
        <v>128</v>
      </c>
      <c r="H199" s="102">
        <v>1</v>
      </c>
      <c r="I199" s="112">
        <v>1221000</v>
      </c>
      <c r="J199" s="153">
        <v>44687</v>
      </c>
      <c r="K199" s="104">
        <f t="shared" si="3"/>
        <v>5</v>
      </c>
      <c r="L199" s="102" t="s">
        <v>159</v>
      </c>
      <c r="M199" s="105">
        <f>(J199+HLOOKUP(L199,Waranty!$A$1:$H$2,2,TRUE))</f>
        <v>44717</v>
      </c>
      <c r="O199" s="102" t="s">
        <v>123</v>
      </c>
      <c r="P199" s="141" t="s">
        <v>124</v>
      </c>
      <c r="Q199" s="142" t="s">
        <v>125</v>
      </c>
    </row>
    <row r="200" spans="1:17" s="102" customFormat="1" ht="49.9" customHeight="1" x14ac:dyDescent="0.25">
      <c r="B200" s="102" t="s">
        <v>116</v>
      </c>
      <c r="C200" s="102" t="s">
        <v>117</v>
      </c>
      <c r="F200" s="102" t="s">
        <v>220</v>
      </c>
      <c r="G200" s="102" t="s">
        <v>128</v>
      </c>
      <c r="H200" s="102">
        <v>1</v>
      </c>
      <c r="I200" s="112">
        <v>495000</v>
      </c>
      <c r="J200" s="153">
        <v>44687</v>
      </c>
      <c r="K200" s="104">
        <f t="shared" si="3"/>
        <v>5</v>
      </c>
      <c r="L200" s="102" t="s">
        <v>135</v>
      </c>
      <c r="M200" s="105">
        <f>(J200+HLOOKUP(L200,Waranty!$A$1:$H$2,2,TRUE))</f>
        <v>44867</v>
      </c>
      <c r="O200" s="102" t="s">
        <v>123</v>
      </c>
      <c r="P200" s="141" t="s">
        <v>124</v>
      </c>
      <c r="Q200" s="142" t="s">
        <v>125</v>
      </c>
    </row>
    <row r="201" spans="1:17" s="102" customFormat="1" ht="49.9" customHeight="1" x14ac:dyDescent="0.25">
      <c r="B201" s="102" t="s">
        <v>126</v>
      </c>
      <c r="C201" s="102" t="s">
        <v>155</v>
      </c>
      <c r="F201" s="102" t="s">
        <v>367</v>
      </c>
      <c r="G201" s="102" t="s">
        <v>142</v>
      </c>
      <c r="H201" s="102">
        <v>1</v>
      </c>
      <c r="I201" s="112">
        <v>1375000</v>
      </c>
      <c r="J201" s="153">
        <v>44687</v>
      </c>
      <c r="K201" s="104">
        <f t="shared" si="3"/>
        <v>5</v>
      </c>
      <c r="L201" s="102" t="s">
        <v>121</v>
      </c>
      <c r="M201" s="105">
        <f>(J201+HLOOKUP(L201,Waranty!$A$1:$H$2,2,TRUE))</f>
        <v>44717</v>
      </c>
      <c r="N201" s="102" t="s">
        <v>122</v>
      </c>
      <c r="O201" s="102" t="s">
        <v>123</v>
      </c>
      <c r="P201" s="141" t="s">
        <v>124</v>
      </c>
      <c r="Q201" s="142" t="s">
        <v>125</v>
      </c>
    </row>
    <row r="202" spans="1:17" s="102" customFormat="1" ht="49.9" customHeight="1" x14ac:dyDescent="0.25">
      <c r="B202" s="102" t="s">
        <v>126</v>
      </c>
      <c r="C202" s="102" t="s">
        <v>368</v>
      </c>
      <c r="F202" s="102" t="s">
        <v>369</v>
      </c>
      <c r="G202" s="102" t="s">
        <v>140</v>
      </c>
      <c r="H202" s="102">
        <v>1</v>
      </c>
      <c r="I202" s="112">
        <v>825000</v>
      </c>
      <c r="J202" s="153">
        <v>44687</v>
      </c>
      <c r="K202" s="104">
        <f t="shared" si="3"/>
        <v>5</v>
      </c>
      <c r="L202" s="102" t="s">
        <v>121</v>
      </c>
      <c r="M202" s="105">
        <f>(J202+HLOOKUP(L202,Waranty!$A$1:$H$2,2,TRUE))</f>
        <v>44717</v>
      </c>
      <c r="O202" s="102" t="s">
        <v>123</v>
      </c>
      <c r="P202" s="141" t="s">
        <v>124</v>
      </c>
      <c r="Q202" s="142" t="s">
        <v>125</v>
      </c>
    </row>
    <row r="203" spans="1:17" s="102" customFormat="1" ht="49.9" customHeight="1" x14ac:dyDescent="0.25">
      <c r="B203" s="102" t="s">
        <v>116</v>
      </c>
      <c r="C203" s="102" t="s">
        <v>368</v>
      </c>
      <c r="F203" s="102" t="s">
        <v>370</v>
      </c>
      <c r="G203" s="102" t="s">
        <v>140</v>
      </c>
      <c r="H203" s="102">
        <v>1</v>
      </c>
      <c r="I203" s="112">
        <v>495000</v>
      </c>
      <c r="J203" s="153">
        <v>44687</v>
      </c>
      <c r="K203" s="104">
        <f t="shared" si="3"/>
        <v>5</v>
      </c>
      <c r="L203" s="102" t="s">
        <v>121</v>
      </c>
      <c r="M203" s="105">
        <f>(J203+HLOOKUP(L203,Waranty!$A$1:$H$2,2,TRUE))</f>
        <v>44717</v>
      </c>
      <c r="O203" s="102" t="s">
        <v>123</v>
      </c>
      <c r="P203" s="141" t="s">
        <v>124</v>
      </c>
      <c r="Q203" s="142" t="s">
        <v>125</v>
      </c>
    </row>
    <row r="204" spans="1:17" s="102" customFormat="1" ht="49.9" customHeight="1" x14ac:dyDescent="0.25">
      <c r="B204" s="102" t="s">
        <v>126</v>
      </c>
      <c r="C204" s="102" t="s">
        <v>155</v>
      </c>
      <c r="F204" s="102" t="s">
        <v>371</v>
      </c>
      <c r="G204" s="102" t="s">
        <v>149</v>
      </c>
      <c r="H204" s="102">
        <v>1</v>
      </c>
      <c r="I204" s="112">
        <v>1375000</v>
      </c>
      <c r="J204" s="153">
        <v>44687</v>
      </c>
      <c r="K204" s="104">
        <f t="shared" si="3"/>
        <v>5</v>
      </c>
      <c r="L204" s="102" t="s">
        <v>121</v>
      </c>
      <c r="M204" s="105">
        <f>(J204+HLOOKUP(L204,Waranty!$A$1:$H$2,2,TRUE))</f>
        <v>44717</v>
      </c>
      <c r="O204" s="102" t="s">
        <v>123</v>
      </c>
      <c r="P204" s="141" t="s">
        <v>124</v>
      </c>
      <c r="Q204" s="142" t="s">
        <v>125</v>
      </c>
    </row>
    <row r="205" spans="1:17" s="102" customFormat="1" ht="49.9" customHeight="1" x14ac:dyDescent="0.25">
      <c r="B205" s="102" t="s">
        <v>126</v>
      </c>
      <c r="C205" s="102" t="s">
        <v>155</v>
      </c>
      <c r="F205" s="102" t="s">
        <v>372</v>
      </c>
      <c r="G205" s="102" t="s">
        <v>142</v>
      </c>
      <c r="H205" s="102">
        <v>1</v>
      </c>
      <c r="I205" s="112">
        <v>1375000</v>
      </c>
      <c r="J205" s="153">
        <v>44687</v>
      </c>
      <c r="K205" s="104">
        <f t="shared" si="3"/>
        <v>5</v>
      </c>
      <c r="L205" s="102" t="s">
        <v>121</v>
      </c>
      <c r="M205" s="105">
        <f>(J205+HLOOKUP(L205,Waranty!$A$1:$H$2,2,TRUE))</f>
        <v>44717</v>
      </c>
      <c r="N205" s="102" t="s">
        <v>122</v>
      </c>
      <c r="O205" s="102" t="s">
        <v>123</v>
      </c>
      <c r="P205" s="141" t="s">
        <v>124</v>
      </c>
      <c r="Q205" s="142" t="s">
        <v>125</v>
      </c>
    </row>
    <row r="206" spans="1:17" s="102" customFormat="1" ht="49.9" customHeight="1" x14ac:dyDescent="0.25">
      <c r="B206" s="102" t="s">
        <v>373</v>
      </c>
      <c r="E206" s="102" t="s">
        <v>374</v>
      </c>
      <c r="F206" s="102" t="s">
        <v>158</v>
      </c>
      <c r="G206" s="102" t="s">
        <v>158</v>
      </c>
      <c r="H206" s="102">
        <v>1</v>
      </c>
      <c r="I206" s="112">
        <v>258500</v>
      </c>
      <c r="J206" s="153">
        <v>44691</v>
      </c>
      <c r="K206" s="104">
        <f t="shared" si="3"/>
        <v>5</v>
      </c>
      <c r="M206" s="105" t="e">
        <f>(J206+HLOOKUP(L206,Waranty!$A$1:$H$2,2,TRUE))</f>
        <v>#N/A</v>
      </c>
      <c r="N206" s="139" t="s">
        <v>215</v>
      </c>
      <c r="O206" s="102" t="s">
        <v>210</v>
      </c>
      <c r="P206" s="141" t="s">
        <v>124</v>
      </c>
      <c r="Q206" s="142" t="s">
        <v>125</v>
      </c>
    </row>
    <row r="207" spans="1:17" s="102" customFormat="1" ht="49.9" customHeight="1" x14ac:dyDescent="0.25">
      <c r="B207" s="102" t="s">
        <v>301</v>
      </c>
      <c r="F207" s="102" t="s">
        <v>158</v>
      </c>
      <c r="G207" s="102" t="s">
        <v>28</v>
      </c>
      <c r="H207" s="102">
        <v>3</v>
      </c>
      <c r="I207" s="112">
        <v>5808000</v>
      </c>
      <c r="J207" s="105">
        <v>44678</v>
      </c>
      <c r="K207" s="104">
        <f t="shared" si="3"/>
        <v>4</v>
      </c>
      <c r="L207" s="102" t="s">
        <v>365</v>
      </c>
      <c r="M207" s="105">
        <f>(J207+HLOOKUP(L207,Waranty!$A$1:$H$2,2,TRUE))</f>
        <v>44768</v>
      </c>
      <c r="O207" s="102" t="s">
        <v>302</v>
      </c>
      <c r="P207" s="141" t="s">
        <v>124</v>
      </c>
      <c r="Q207" s="150" t="s">
        <v>55</v>
      </c>
    </row>
    <row r="208" spans="1:17" s="102" customFormat="1" ht="49.9" customHeight="1" x14ac:dyDescent="0.25">
      <c r="B208" s="102" t="s">
        <v>301</v>
      </c>
      <c r="F208" s="102" t="s">
        <v>158</v>
      </c>
      <c r="G208" s="102" t="s">
        <v>28</v>
      </c>
      <c r="H208" s="102">
        <v>1</v>
      </c>
      <c r="I208" s="112">
        <v>3080000</v>
      </c>
      <c r="J208" s="105">
        <v>44678</v>
      </c>
      <c r="K208" s="104">
        <f t="shared" si="3"/>
        <v>4</v>
      </c>
      <c r="L208" s="102" t="s">
        <v>365</v>
      </c>
      <c r="M208" s="105">
        <f>(J208+HLOOKUP(L208,Waranty!$A$1:$H$2,2,TRUE))</f>
        <v>44768</v>
      </c>
      <c r="O208" s="102" t="s">
        <v>302</v>
      </c>
      <c r="P208" s="141" t="s">
        <v>124</v>
      </c>
      <c r="Q208" s="150" t="s">
        <v>55</v>
      </c>
    </row>
    <row r="209" spans="2:31" s="102" customFormat="1" ht="49.9" customHeight="1" x14ac:dyDescent="0.25">
      <c r="B209" s="102" t="s">
        <v>301</v>
      </c>
      <c r="F209" s="102" t="s">
        <v>158</v>
      </c>
      <c r="G209" s="102" t="s">
        <v>28</v>
      </c>
      <c r="H209" s="102">
        <v>5</v>
      </c>
      <c r="I209" s="112">
        <v>6430000</v>
      </c>
      <c r="J209" s="105">
        <v>44678</v>
      </c>
      <c r="K209" s="104">
        <f t="shared" si="3"/>
        <v>4</v>
      </c>
      <c r="L209" s="102" t="s">
        <v>365</v>
      </c>
      <c r="M209" s="105">
        <f>(J209+HLOOKUP(L209,Waranty!$A$1:$H$2,2,TRUE))</f>
        <v>44768</v>
      </c>
      <c r="O209" s="102" t="s">
        <v>302</v>
      </c>
      <c r="P209" s="141" t="s">
        <v>124</v>
      </c>
      <c r="Q209" s="150" t="s">
        <v>55</v>
      </c>
    </row>
    <row r="210" spans="2:31" s="102" customFormat="1" ht="49.9" customHeight="1" x14ac:dyDescent="0.25">
      <c r="B210" s="102" t="s">
        <v>301</v>
      </c>
      <c r="F210" s="102" t="s">
        <v>158</v>
      </c>
      <c r="G210" s="102" t="s">
        <v>28</v>
      </c>
      <c r="H210" s="102">
        <v>2</v>
      </c>
      <c r="I210" s="112">
        <v>3429000</v>
      </c>
      <c r="J210" s="105">
        <v>44678</v>
      </c>
      <c r="K210" s="104">
        <f t="shared" si="3"/>
        <v>4</v>
      </c>
      <c r="L210" s="102" t="s">
        <v>365</v>
      </c>
      <c r="M210" s="105">
        <f>(J210+HLOOKUP(L210,Waranty!$A$1:$H$2,2,TRUE))</f>
        <v>44768</v>
      </c>
      <c r="O210" s="102" t="s">
        <v>302</v>
      </c>
      <c r="P210" s="141" t="s">
        <v>124</v>
      </c>
      <c r="Q210" s="150" t="s">
        <v>55</v>
      </c>
    </row>
    <row r="211" spans="2:31" s="135" customFormat="1" ht="49.9" customHeight="1" x14ac:dyDescent="0.25">
      <c r="B211" s="135" t="s">
        <v>211</v>
      </c>
      <c r="C211" s="135" t="s">
        <v>131</v>
      </c>
      <c r="F211" s="135" t="s">
        <v>375</v>
      </c>
      <c r="G211" s="102" t="s">
        <v>134</v>
      </c>
      <c r="H211" s="135">
        <v>1</v>
      </c>
      <c r="I211" s="136">
        <v>715000</v>
      </c>
      <c r="J211" s="137">
        <v>44693</v>
      </c>
      <c r="K211" s="135">
        <v>5</v>
      </c>
      <c r="L211" s="135" t="s">
        <v>121</v>
      </c>
      <c r="M211" s="138">
        <f>(J211+HLOOKUP(L211,Waranty!$A$1:$H$2,2,TRUE))</f>
        <v>44723</v>
      </c>
      <c r="N211" s="139" t="s">
        <v>215</v>
      </c>
      <c r="O211" s="135" t="s">
        <v>123</v>
      </c>
      <c r="P211" s="140" t="s">
        <v>124</v>
      </c>
      <c r="Q211" s="86" t="s">
        <v>58</v>
      </c>
      <c r="S211" s="136"/>
      <c r="T211" s="136"/>
      <c r="U211" s="136"/>
      <c r="V211" s="136"/>
      <c r="W211" s="136"/>
      <c r="X211" s="136"/>
      <c r="Y211" s="136"/>
      <c r="Z211" s="136"/>
      <c r="AA211" s="136"/>
      <c r="AB211" s="136"/>
      <c r="AC211" s="136"/>
      <c r="AD211" s="136"/>
      <c r="AE211" s="136"/>
    </row>
    <row r="212" spans="2:31" s="119" customFormat="1" ht="49.9" customHeight="1" x14ac:dyDescent="0.25">
      <c r="B212" s="119" t="s">
        <v>223</v>
      </c>
      <c r="C212" s="119" t="s">
        <v>117</v>
      </c>
      <c r="F212" s="119" t="s">
        <v>243</v>
      </c>
      <c r="G212" s="102" t="s">
        <v>149</v>
      </c>
      <c r="H212" s="119">
        <v>1</v>
      </c>
      <c r="I212" s="120">
        <v>605000</v>
      </c>
      <c r="J212" s="122">
        <v>44693</v>
      </c>
      <c r="K212" s="119">
        <v>5</v>
      </c>
      <c r="L212" s="119" t="s">
        <v>121</v>
      </c>
      <c r="M212" s="106">
        <f>(J212+HLOOKUP(L212,Waranty!$A$1:$H$2,2,TRUE))</f>
        <v>44723</v>
      </c>
      <c r="N212" s="102" t="s">
        <v>122</v>
      </c>
      <c r="O212" s="119" t="s">
        <v>123</v>
      </c>
      <c r="P212" s="101" t="s">
        <v>124</v>
      </c>
      <c r="Q212" s="78" t="s">
        <v>58</v>
      </c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</row>
    <row r="213" spans="2:31" s="119" customFormat="1" ht="49.9" customHeight="1" x14ac:dyDescent="0.25">
      <c r="B213" s="119" t="s">
        <v>223</v>
      </c>
      <c r="C213" s="119" t="s">
        <v>155</v>
      </c>
      <c r="F213" s="119" t="s">
        <v>258</v>
      </c>
      <c r="G213" s="102" t="s">
        <v>146</v>
      </c>
      <c r="H213" s="119">
        <v>1</v>
      </c>
      <c r="I213" s="120">
        <v>605000</v>
      </c>
      <c r="J213" s="122">
        <v>44693</v>
      </c>
      <c r="K213" s="119">
        <v>5</v>
      </c>
      <c r="L213" s="119" t="s">
        <v>121</v>
      </c>
      <c r="M213" s="106">
        <f>(J213+HLOOKUP(L213,Waranty!$A$1:$H$2,2,TRUE))</f>
        <v>44723</v>
      </c>
      <c r="N213" s="102" t="s">
        <v>122</v>
      </c>
      <c r="O213" s="119" t="s">
        <v>123</v>
      </c>
      <c r="P213" s="101" t="s">
        <v>124</v>
      </c>
      <c r="Q213" s="78" t="s">
        <v>58</v>
      </c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</row>
    <row r="214" spans="2:31" s="119" customFormat="1" ht="49.9" customHeight="1" x14ac:dyDescent="0.25">
      <c r="B214" s="119" t="s">
        <v>126</v>
      </c>
      <c r="C214" s="119" t="s">
        <v>155</v>
      </c>
      <c r="F214" s="119" t="s">
        <v>356</v>
      </c>
      <c r="G214" s="119" t="s">
        <v>191</v>
      </c>
      <c r="H214" s="119">
        <v>1</v>
      </c>
      <c r="I214" s="120">
        <v>1375000</v>
      </c>
      <c r="J214" s="122">
        <v>44693</v>
      </c>
      <c r="K214" s="119">
        <v>5</v>
      </c>
      <c r="L214" s="119" t="s">
        <v>121</v>
      </c>
      <c r="N214" s="102" t="s">
        <v>122</v>
      </c>
      <c r="O214" s="119" t="s">
        <v>123</v>
      </c>
      <c r="P214" s="121" t="s">
        <v>124</v>
      </c>
      <c r="Q214" s="78" t="s">
        <v>58</v>
      </c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</row>
    <row r="215" spans="2:31" s="119" customFormat="1" ht="49.9" customHeight="1" x14ac:dyDescent="0.25">
      <c r="B215" s="119" t="s">
        <v>116</v>
      </c>
      <c r="C215" s="119" t="s">
        <v>138</v>
      </c>
      <c r="F215" s="119" t="s">
        <v>376</v>
      </c>
      <c r="G215" s="102" t="s">
        <v>195</v>
      </c>
      <c r="H215" s="119">
        <v>1</v>
      </c>
      <c r="I215" s="120">
        <v>605000</v>
      </c>
      <c r="J215" s="122">
        <v>44693</v>
      </c>
      <c r="K215" s="119">
        <v>5</v>
      </c>
      <c r="L215" s="119" t="s">
        <v>121</v>
      </c>
      <c r="N215" s="102" t="s">
        <v>122</v>
      </c>
      <c r="O215" s="119" t="s">
        <v>123</v>
      </c>
      <c r="P215" s="121" t="s">
        <v>124</v>
      </c>
      <c r="Q215" s="78" t="s">
        <v>58</v>
      </c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</row>
    <row r="216" spans="2:31" s="119" customFormat="1" ht="49.9" customHeight="1" x14ac:dyDescent="0.25">
      <c r="B216" s="119" t="s">
        <v>186</v>
      </c>
      <c r="F216" s="102" t="s">
        <v>158</v>
      </c>
      <c r="G216" s="102" t="s">
        <v>140</v>
      </c>
      <c r="H216" s="119">
        <v>1</v>
      </c>
      <c r="I216" s="120">
        <v>1470000</v>
      </c>
      <c r="J216" s="122">
        <v>44697</v>
      </c>
      <c r="K216" s="119">
        <v>5</v>
      </c>
      <c r="L216" s="102" t="s">
        <v>121</v>
      </c>
      <c r="M216" s="105">
        <f>(J216+HLOOKUP(L216,Waranty!$A$1:$H$2,2,TRUE))</f>
        <v>44727</v>
      </c>
      <c r="N216" s="102" t="s">
        <v>160</v>
      </c>
      <c r="O216" s="119" t="s">
        <v>123</v>
      </c>
      <c r="P216" s="121" t="s">
        <v>173</v>
      </c>
      <c r="Q216" s="81" t="s">
        <v>35</v>
      </c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</row>
    <row r="217" spans="2:31" s="119" customFormat="1" ht="49.9" customHeight="1" x14ac:dyDescent="0.25">
      <c r="B217" s="119" t="s">
        <v>186</v>
      </c>
      <c r="F217" s="102" t="s">
        <v>158</v>
      </c>
      <c r="G217" s="102" t="s">
        <v>134</v>
      </c>
      <c r="H217" s="119">
        <v>1</v>
      </c>
      <c r="I217" s="120">
        <v>1470000</v>
      </c>
      <c r="J217" s="122">
        <v>44697</v>
      </c>
      <c r="K217" s="119">
        <v>5</v>
      </c>
      <c r="L217" s="102" t="s">
        <v>121</v>
      </c>
      <c r="M217" s="105">
        <f>(J217+HLOOKUP(L217,Waranty!$A$1:$H$2,2,TRUE))</f>
        <v>44727</v>
      </c>
      <c r="N217" s="102" t="s">
        <v>160</v>
      </c>
      <c r="O217" s="119" t="s">
        <v>123</v>
      </c>
      <c r="P217" s="121" t="s">
        <v>173</v>
      </c>
      <c r="Q217" s="81" t="s">
        <v>35</v>
      </c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</row>
    <row r="218" spans="2:31" s="119" customFormat="1" ht="49.9" customHeight="1" x14ac:dyDescent="0.25">
      <c r="B218" s="119" t="s">
        <v>143</v>
      </c>
      <c r="C218" s="119" t="s">
        <v>155</v>
      </c>
      <c r="F218" s="119" t="s">
        <v>224</v>
      </c>
      <c r="G218" s="102" t="s">
        <v>140</v>
      </c>
      <c r="H218" s="119">
        <v>1</v>
      </c>
      <c r="I218" s="120">
        <v>3025000</v>
      </c>
      <c r="J218" s="122" t="s">
        <v>377</v>
      </c>
      <c r="K218" s="119">
        <v>5</v>
      </c>
      <c r="L218" s="119" t="s">
        <v>135</v>
      </c>
      <c r="M218" s="106" t="e">
        <f>(J218+HLOOKUP(L218,Waranty!$A$1:$H$2,2,TRUE))</f>
        <v>#VALUE!</v>
      </c>
      <c r="N218" s="99" t="s">
        <v>215</v>
      </c>
      <c r="O218" s="119" t="s">
        <v>123</v>
      </c>
      <c r="P218" s="101" t="s">
        <v>124</v>
      </c>
      <c r="Q218" s="78" t="s">
        <v>58</v>
      </c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</row>
    <row r="219" spans="2:31" s="119" customFormat="1" ht="49.9" customHeight="1" x14ac:dyDescent="0.25">
      <c r="B219" s="119" t="s">
        <v>116</v>
      </c>
      <c r="C219" s="119" t="s">
        <v>155</v>
      </c>
      <c r="F219" s="119" t="s">
        <v>343</v>
      </c>
      <c r="G219" s="119" t="s">
        <v>120</v>
      </c>
      <c r="H219" s="119">
        <v>1</v>
      </c>
      <c r="I219" s="120">
        <v>726000</v>
      </c>
      <c r="J219" s="122" t="s">
        <v>378</v>
      </c>
      <c r="K219" s="119">
        <v>5</v>
      </c>
      <c r="L219" s="119" t="s">
        <v>135</v>
      </c>
      <c r="M219" s="106" t="e">
        <f>(J219+HLOOKUP(L219,Waranty!$A$1:$H$2,2,TRUE))</f>
        <v>#VALUE!</v>
      </c>
      <c r="N219" s="102" t="s">
        <v>122</v>
      </c>
      <c r="O219" s="119" t="s">
        <v>123</v>
      </c>
      <c r="P219" s="121" t="s">
        <v>124</v>
      </c>
      <c r="Q219" s="78" t="s">
        <v>58</v>
      </c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</row>
    <row r="220" spans="2:31" s="119" customFormat="1" ht="49.9" customHeight="1" x14ac:dyDescent="0.25">
      <c r="B220" s="119" t="s">
        <v>116</v>
      </c>
      <c r="C220" s="119" t="s">
        <v>138</v>
      </c>
      <c r="F220" s="119" t="s">
        <v>379</v>
      </c>
      <c r="G220" s="119" t="s">
        <v>226</v>
      </c>
      <c r="H220" s="119">
        <v>1</v>
      </c>
      <c r="I220" s="120">
        <v>605000</v>
      </c>
      <c r="J220" s="122" t="s">
        <v>378</v>
      </c>
      <c r="K220" s="119">
        <v>5</v>
      </c>
      <c r="L220" s="119" t="s">
        <v>135</v>
      </c>
      <c r="M220" s="106" t="e">
        <f>(J220+HLOOKUP(L220,Waranty!$A$1:$H$2,2,TRUE))</f>
        <v>#VALUE!</v>
      </c>
      <c r="N220" s="102" t="s">
        <v>122</v>
      </c>
      <c r="O220" s="119" t="s">
        <v>123</v>
      </c>
      <c r="P220" s="121" t="s">
        <v>124</v>
      </c>
      <c r="Q220" s="78" t="s">
        <v>58</v>
      </c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</row>
    <row r="221" spans="2:31" s="119" customFormat="1" ht="49.9" customHeight="1" x14ac:dyDescent="0.25">
      <c r="B221" s="119" t="s">
        <v>116</v>
      </c>
      <c r="C221" s="119" t="s">
        <v>268</v>
      </c>
      <c r="F221" s="119" t="s">
        <v>380</v>
      </c>
      <c r="G221" s="102" t="s">
        <v>146</v>
      </c>
      <c r="H221" s="119">
        <v>1</v>
      </c>
      <c r="I221" s="120">
        <v>1265000</v>
      </c>
      <c r="J221" s="122" t="s">
        <v>381</v>
      </c>
      <c r="K221" s="119">
        <v>5</v>
      </c>
      <c r="N221" s="102" t="s">
        <v>122</v>
      </c>
      <c r="O221" s="119" t="s">
        <v>123</v>
      </c>
      <c r="P221" s="121" t="s">
        <v>124</v>
      </c>
      <c r="Q221" s="78" t="s">
        <v>58</v>
      </c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</row>
    <row r="222" spans="2:31" s="119" customFormat="1" ht="49.9" customHeight="1" x14ac:dyDescent="0.25">
      <c r="B222" s="119" t="s">
        <v>126</v>
      </c>
      <c r="C222" s="119" t="s">
        <v>117</v>
      </c>
      <c r="F222" s="119" t="s">
        <v>145</v>
      </c>
      <c r="G222" s="102" t="s">
        <v>146</v>
      </c>
      <c r="H222" s="119">
        <v>1</v>
      </c>
      <c r="I222" s="120">
        <v>935000</v>
      </c>
      <c r="J222" s="122" t="s">
        <v>382</v>
      </c>
      <c r="K222" s="119">
        <v>5</v>
      </c>
      <c r="L222" s="119" t="s">
        <v>121</v>
      </c>
      <c r="N222" s="102" t="s">
        <v>122</v>
      </c>
      <c r="O222" s="119" t="s">
        <v>123</v>
      </c>
      <c r="P222" s="121" t="s">
        <v>124</v>
      </c>
      <c r="Q222" s="78" t="s">
        <v>58</v>
      </c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</row>
    <row r="223" spans="2:31" s="119" customFormat="1" ht="49.9" customHeight="1" x14ac:dyDescent="0.25">
      <c r="B223" s="119" t="s">
        <v>126</v>
      </c>
      <c r="C223" s="119" t="s">
        <v>138</v>
      </c>
      <c r="F223" s="119" t="s">
        <v>383</v>
      </c>
      <c r="G223" s="102" t="s">
        <v>153</v>
      </c>
      <c r="H223" s="119">
        <v>1</v>
      </c>
      <c r="I223" s="120">
        <v>1265000</v>
      </c>
      <c r="J223" s="122" t="s">
        <v>382</v>
      </c>
      <c r="K223" s="119">
        <v>5</v>
      </c>
      <c r="L223" s="119" t="s">
        <v>121</v>
      </c>
      <c r="N223" s="102" t="s">
        <v>122</v>
      </c>
      <c r="O223" s="119" t="s">
        <v>123</v>
      </c>
      <c r="P223" s="121" t="s">
        <v>124</v>
      </c>
      <c r="Q223" s="78" t="s">
        <v>58</v>
      </c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</row>
    <row r="224" spans="2:31" s="119" customFormat="1" ht="49.9" customHeight="1" x14ac:dyDescent="0.25">
      <c r="B224" s="119" t="s">
        <v>116</v>
      </c>
      <c r="C224" s="119" t="s">
        <v>131</v>
      </c>
      <c r="F224" s="119" t="s">
        <v>256</v>
      </c>
      <c r="G224" s="119" t="s">
        <v>128</v>
      </c>
      <c r="H224" s="119">
        <v>1</v>
      </c>
      <c r="I224" s="120">
        <v>583000</v>
      </c>
      <c r="J224" s="122" t="s">
        <v>382</v>
      </c>
      <c r="K224" s="119">
        <v>5</v>
      </c>
      <c r="L224" s="119" t="s">
        <v>121</v>
      </c>
      <c r="N224" s="102" t="s">
        <v>122</v>
      </c>
      <c r="O224" s="119" t="s">
        <v>123</v>
      </c>
      <c r="P224" s="121" t="s">
        <v>124</v>
      </c>
      <c r="Q224" s="78" t="s">
        <v>58</v>
      </c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</row>
    <row r="225" spans="1:31" s="119" customFormat="1" ht="49.9" customHeight="1" x14ac:dyDescent="0.25">
      <c r="B225" s="119" t="s">
        <v>335</v>
      </c>
      <c r="E225" s="119" t="s">
        <v>384</v>
      </c>
      <c r="F225" s="119" t="s">
        <v>385</v>
      </c>
      <c r="G225" s="119" t="s">
        <v>158</v>
      </c>
      <c r="H225" s="119">
        <v>2</v>
      </c>
      <c r="I225" s="123" t="s">
        <v>386</v>
      </c>
      <c r="J225" s="122" t="s">
        <v>387</v>
      </c>
      <c r="K225" s="119">
        <v>5</v>
      </c>
      <c r="L225" s="119" t="s">
        <v>121</v>
      </c>
      <c r="M225" s="106" t="e">
        <f>(J225+HLOOKUP(L225,Waranty!$A$1:$H$2,2,TRUE))</f>
        <v>#VALUE!</v>
      </c>
      <c r="O225" s="119" t="s">
        <v>338</v>
      </c>
      <c r="P225" s="74" t="s">
        <v>61</v>
      </c>
      <c r="Q225" s="80" t="s">
        <v>62</v>
      </c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</row>
    <row r="226" spans="1:31" s="119" customFormat="1" ht="49.9" customHeight="1" x14ac:dyDescent="0.25">
      <c r="B226" s="119" t="s">
        <v>211</v>
      </c>
      <c r="C226" s="119" t="s">
        <v>131</v>
      </c>
      <c r="F226" s="119" t="s">
        <v>388</v>
      </c>
      <c r="G226" s="119" t="s">
        <v>137</v>
      </c>
      <c r="H226" s="119">
        <v>1</v>
      </c>
      <c r="I226" s="120">
        <v>660000</v>
      </c>
      <c r="J226" s="122">
        <v>44692</v>
      </c>
      <c r="K226" s="119">
        <v>5</v>
      </c>
      <c r="L226" s="119" t="s">
        <v>135</v>
      </c>
      <c r="M226" s="106">
        <f>(J226+HLOOKUP(L226,Waranty!$A$1:$H$2,2,TRUE))</f>
        <v>44872</v>
      </c>
      <c r="N226" s="99" t="s">
        <v>215</v>
      </c>
      <c r="O226" s="119" t="s">
        <v>123</v>
      </c>
      <c r="P226" s="101" t="s">
        <v>124</v>
      </c>
      <c r="Q226" s="78" t="s">
        <v>58</v>
      </c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</row>
    <row r="227" spans="1:31" s="119" customFormat="1" ht="49.9" customHeight="1" x14ac:dyDescent="0.25">
      <c r="B227" s="119" t="s">
        <v>211</v>
      </c>
      <c r="C227" s="119" t="s">
        <v>129</v>
      </c>
      <c r="F227" s="119" t="s">
        <v>389</v>
      </c>
      <c r="G227" s="102" t="s">
        <v>140</v>
      </c>
      <c r="H227" s="119">
        <v>1</v>
      </c>
      <c r="I227" s="120">
        <v>660000</v>
      </c>
      <c r="J227" s="122">
        <v>44692</v>
      </c>
      <c r="K227" s="119">
        <v>5</v>
      </c>
      <c r="L227" s="119" t="s">
        <v>135</v>
      </c>
      <c r="M227" s="106">
        <f>(J227+HLOOKUP(L227,Waranty!$A$1:$H$2,2,TRUE))</f>
        <v>44872</v>
      </c>
      <c r="N227" s="99" t="s">
        <v>215</v>
      </c>
      <c r="O227" s="119" t="s">
        <v>123</v>
      </c>
      <c r="P227" s="101" t="s">
        <v>124</v>
      </c>
      <c r="Q227" s="78" t="s">
        <v>58</v>
      </c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</row>
    <row r="228" spans="1:31" s="119" customFormat="1" ht="49.9" customHeight="1" x14ac:dyDescent="0.25">
      <c r="B228" s="119" t="s">
        <v>390</v>
      </c>
      <c r="F228" s="119" t="s">
        <v>39</v>
      </c>
      <c r="G228" s="119" t="s">
        <v>39</v>
      </c>
      <c r="H228" s="119">
        <v>1</v>
      </c>
      <c r="I228" s="120">
        <v>750000</v>
      </c>
      <c r="J228" s="122">
        <v>44670</v>
      </c>
      <c r="K228" s="119">
        <v>5</v>
      </c>
      <c r="L228" s="119" t="s">
        <v>159</v>
      </c>
      <c r="M228" s="106">
        <f>(J228+HLOOKUP(L228,Waranty!$A$1:$H$2,2,TRUE))</f>
        <v>44700</v>
      </c>
      <c r="N228" s="102" t="s">
        <v>122</v>
      </c>
      <c r="O228" s="119" t="s">
        <v>391</v>
      </c>
      <c r="P228" s="121" t="s">
        <v>124</v>
      </c>
      <c r="Q228" s="78" t="s">
        <v>58</v>
      </c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</row>
    <row r="229" spans="1:31" s="119" customFormat="1" ht="49.9" customHeight="1" x14ac:dyDescent="0.25">
      <c r="B229" s="119" t="s">
        <v>392</v>
      </c>
      <c r="E229" s="119" t="s">
        <v>393</v>
      </c>
      <c r="F229" s="119" t="s">
        <v>190</v>
      </c>
      <c r="G229" s="119" t="s">
        <v>191</v>
      </c>
      <c r="H229" s="119">
        <v>1</v>
      </c>
      <c r="I229" s="120">
        <v>1120000</v>
      </c>
      <c r="J229" s="122">
        <v>44670</v>
      </c>
      <c r="K229" s="119">
        <v>5</v>
      </c>
      <c r="L229" s="119" t="s">
        <v>121</v>
      </c>
      <c r="M229" s="106">
        <f>(J229+HLOOKUP(L229,Waranty!$A$1:$H$2,2,TRUE))</f>
        <v>44700</v>
      </c>
      <c r="N229" s="102" t="s">
        <v>122</v>
      </c>
      <c r="O229" s="119" t="s">
        <v>391</v>
      </c>
      <c r="P229" s="121" t="s">
        <v>124</v>
      </c>
      <c r="Q229" s="78" t="s">
        <v>58</v>
      </c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</row>
    <row r="230" spans="1:31" s="119" customFormat="1" ht="49.9" customHeight="1" x14ac:dyDescent="0.25">
      <c r="B230" s="119" t="s">
        <v>126</v>
      </c>
      <c r="C230" s="119" t="s">
        <v>117</v>
      </c>
      <c r="F230" s="119" t="s">
        <v>394</v>
      </c>
      <c r="G230" s="119" t="s">
        <v>213</v>
      </c>
      <c r="H230" s="119">
        <v>1</v>
      </c>
      <c r="I230" s="120">
        <v>935000</v>
      </c>
      <c r="J230" s="122">
        <v>44707</v>
      </c>
      <c r="K230" s="119">
        <v>5</v>
      </c>
      <c r="L230" s="119" t="s">
        <v>121</v>
      </c>
      <c r="M230" s="106">
        <f>(J230+HLOOKUP(L230,Waranty!$A$1:$H$2,2,TRUE))</f>
        <v>44737</v>
      </c>
      <c r="N230" s="102" t="s">
        <v>122</v>
      </c>
      <c r="O230" s="119" t="s">
        <v>123</v>
      </c>
      <c r="P230" s="121" t="s">
        <v>124</v>
      </c>
      <c r="Q230" s="142" t="s">
        <v>125</v>
      </c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</row>
    <row r="231" spans="1:31" s="119" customFormat="1" ht="49.9" customHeight="1" x14ac:dyDescent="0.25">
      <c r="B231" s="119" t="s">
        <v>373</v>
      </c>
      <c r="E231" s="119" t="s">
        <v>374</v>
      </c>
      <c r="F231" s="119" t="s">
        <v>395</v>
      </c>
      <c r="G231" s="119" t="s">
        <v>158</v>
      </c>
      <c r="H231" s="119">
        <v>1</v>
      </c>
      <c r="I231" s="120">
        <v>258500</v>
      </c>
      <c r="J231" s="122">
        <v>44692</v>
      </c>
      <c r="K231" s="119">
        <v>5</v>
      </c>
      <c r="L231" s="119" t="s">
        <v>159</v>
      </c>
      <c r="M231" s="106">
        <f>(J231+HLOOKUP(L231,Waranty!$A$1:$H$2,2,TRUE))</f>
        <v>44722</v>
      </c>
      <c r="N231" s="102" t="s">
        <v>122</v>
      </c>
      <c r="O231" s="119" t="s">
        <v>396</v>
      </c>
      <c r="P231" s="121" t="s">
        <v>124</v>
      </c>
      <c r="Q231" s="78" t="s">
        <v>58</v>
      </c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</row>
    <row r="232" spans="1:31" s="119" customFormat="1" ht="49.9" customHeight="1" x14ac:dyDescent="0.25">
      <c r="B232" s="102" t="s">
        <v>330</v>
      </c>
      <c r="F232" s="119" t="s">
        <v>158</v>
      </c>
      <c r="G232" s="102" t="s">
        <v>28</v>
      </c>
      <c r="I232" s="112">
        <v>308508000</v>
      </c>
      <c r="J232" s="122">
        <v>44669</v>
      </c>
      <c r="K232" s="104">
        <f t="shared" ref="K232" si="4">MONTH(J232)</f>
        <v>4</v>
      </c>
      <c r="L232" s="119" t="s">
        <v>121</v>
      </c>
      <c r="M232" s="106">
        <f>(J232+HLOOKUP(L232,Waranty!$A$1:$H$2,2,TRUE))</f>
        <v>44699</v>
      </c>
      <c r="N232" s="102" t="s">
        <v>160</v>
      </c>
      <c r="O232" s="102" t="s">
        <v>172</v>
      </c>
      <c r="P232" s="141" t="s">
        <v>173</v>
      </c>
      <c r="Q232" s="81" t="s">
        <v>34</v>
      </c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</row>
    <row r="233" spans="1:31" s="119" customFormat="1" ht="49.9" customHeight="1" x14ac:dyDescent="0.25">
      <c r="B233" s="119" t="s">
        <v>150</v>
      </c>
      <c r="E233" s="119" t="s">
        <v>397</v>
      </c>
      <c r="F233" s="119" t="s">
        <v>152</v>
      </c>
      <c r="G233" s="102" t="s">
        <v>177</v>
      </c>
      <c r="H233" s="119">
        <v>1</v>
      </c>
      <c r="I233" s="134">
        <v>1947000</v>
      </c>
      <c r="J233" s="122">
        <v>44708</v>
      </c>
      <c r="K233" s="119">
        <v>5</v>
      </c>
      <c r="L233" s="119" t="s">
        <v>398</v>
      </c>
      <c r="M233" s="105">
        <f>(J233+HLOOKUP(L233,Waranty!$A$1:$H$2,2,TRUE))</f>
        <v>44798</v>
      </c>
      <c r="N233" s="119" t="s">
        <v>399</v>
      </c>
      <c r="O233" s="119" t="s">
        <v>123</v>
      </c>
      <c r="P233" s="121" t="s">
        <v>124</v>
      </c>
      <c r="Q233" s="142" t="s">
        <v>125</v>
      </c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</row>
    <row r="234" spans="1:31" s="119" customFormat="1" ht="49.9" customHeight="1" x14ac:dyDescent="0.25">
      <c r="B234" s="119" t="s">
        <v>150</v>
      </c>
      <c r="E234" s="119" t="s">
        <v>397</v>
      </c>
      <c r="F234" s="119" t="s">
        <v>400</v>
      </c>
      <c r="G234" s="119" t="s">
        <v>158</v>
      </c>
      <c r="H234" s="119">
        <v>1</v>
      </c>
      <c r="I234" s="134">
        <v>1947000</v>
      </c>
      <c r="J234" s="122">
        <v>44708</v>
      </c>
      <c r="K234" s="119">
        <v>5</v>
      </c>
      <c r="L234" s="119" t="s">
        <v>398</v>
      </c>
      <c r="M234" s="105">
        <f>(J234+HLOOKUP(L234,Waranty!$A$1:$H$2,2,TRUE))</f>
        <v>44798</v>
      </c>
      <c r="N234" s="119" t="s">
        <v>399</v>
      </c>
      <c r="O234" s="119" t="s">
        <v>123</v>
      </c>
      <c r="P234" s="121" t="s">
        <v>124</v>
      </c>
      <c r="Q234" s="142" t="s">
        <v>125</v>
      </c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</row>
    <row r="235" spans="1:31" s="119" customFormat="1" ht="49.9" customHeight="1" x14ac:dyDescent="0.25">
      <c r="B235" s="119" t="s">
        <v>150</v>
      </c>
      <c r="E235" s="119" t="s">
        <v>397</v>
      </c>
      <c r="F235" s="119" t="s">
        <v>395</v>
      </c>
      <c r="G235" s="119" t="s">
        <v>158</v>
      </c>
      <c r="H235" s="119">
        <v>1</v>
      </c>
      <c r="I235" s="134">
        <v>1947000</v>
      </c>
      <c r="J235" s="122">
        <v>44708</v>
      </c>
      <c r="K235" s="119">
        <v>5</v>
      </c>
      <c r="L235" s="119" t="s">
        <v>398</v>
      </c>
      <c r="M235" s="105">
        <f>(J235+HLOOKUP(L235,Waranty!$A$1:$H$2,2,TRUE))</f>
        <v>44798</v>
      </c>
      <c r="N235" s="119" t="s">
        <v>399</v>
      </c>
      <c r="O235" s="119" t="s">
        <v>123</v>
      </c>
      <c r="P235" s="121" t="s">
        <v>124</v>
      </c>
      <c r="Q235" s="142" t="s">
        <v>125</v>
      </c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</row>
    <row r="236" spans="1:31" s="119" customFormat="1" ht="49.9" customHeight="1" x14ac:dyDescent="0.25">
      <c r="B236" s="119" t="s">
        <v>150</v>
      </c>
      <c r="E236" s="119" t="s">
        <v>397</v>
      </c>
      <c r="F236" s="119" t="s">
        <v>401</v>
      </c>
      <c r="G236" s="119" t="s">
        <v>158</v>
      </c>
      <c r="H236" s="119">
        <v>1</v>
      </c>
      <c r="I236" s="134">
        <v>1947000</v>
      </c>
      <c r="J236" s="122">
        <v>44708</v>
      </c>
      <c r="K236" s="119">
        <v>5</v>
      </c>
      <c r="L236" s="119" t="s">
        <v>398</v>
      </c>
      <c r="M236" s="105">
        <f>(J236+HLOOKUP(L236,Waranty!$A$1:$H$2,2,TRUE))</f>
        <v>44798</v>
      </c>
      <c r="N236" s="119" t="s">
        <v>399</v>
      </c>
      <c r="O236" s="119" t="s">
        <v>123</v>
      </c>
      <c r="P236" s="121" t="s">
        <v>124</v>
      </c>
      <c r="Q236" s="142" t="s">
        <v>125</v>
      </c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</row>
    <row r="237" spans="1:31" s="119" customFormat="1" ht="49.9" customHeight="1" x14ac:dyDescent="0.25">
      <c r="B237" s="119" t="s">
        <v>150</v>
      </c>
      <c r="E237" s="119" t="s">
        <v>397</v>
      </c>
      <c r="F237" s="119" t="s">
        <v>402</v>
      </c>
      <c r="G237" s="119" t="s">
        <v>158</v>
      </c>
      <c r="H237" s="119">
        <v>1</v>
      </c>
      <c r="I237" s="134">
        <v>1947000</v>
      </c>
      <c r="J237" s="122">
        <v>44708</v>
      </c>
      <c r="K237" s="119">
        <v>5</v>
      </c>
      <c r="L237" s="119" t="s">
        <v>398</v>
      </c>
      <c r="M237" s="105">
        <f>(J237+HLOOKUP(L237,Waranty!$A$1:$H$2,2,TRUE))</f>
        <v>44798</v>
      </c>
      <c r="N237" s="119" t="s">
        <v>399</v>
      </c>
      <c r="O237" s="119" t="s">
        <v>123</v>
      </c>
      <c r="P237" s="121" t="s">
        <v>124</v>
      </c>
      <c r="Q237" s="142" t="s">
        <v>125</v>
      </c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</row>
    <row r="238" spans="1:31" s="119" customFormat="1" ht="49.9" customHeight="1" x14ac:dyDescent="0.25">
      <c r="A238" s="119" t="s">
        <v>403</v>
      </c>
      <c r="C238" s="166"/>
      <c r="D238" s="166"/>
      <c r="E238" s="166"/>
      <c r="F238" s="166"/>
      <c r="H238" s="166"/>
      <c r="I238" s="167"/>
      <c r="J238" s="168"/>
      <c r="K238" s="166"/>
      <c r="L238" s="166"/>
      <c r="M238" s="105"/>
      <c r="P238" s="169"/>
      <c r="Q238" s="142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</row>
    <row r="239" spans="1:31" s="156" customFormat="1" ht="38.25" x14ac:dyDescent="0.2">
      <c r="B239" s="127" t="s">
        <v>126</v>
      </c>
      <c r="C239" s="128" t="s">
        <v>155</v>
      </c>
      <c r="D239" s="128" t="s">
        <v>336</v>
      </c>
      <c r="E239" s="128" t="s">
        <v>336</v>
      </c>
      <c r="F239" s="163" t="s">
        <v>404</v>
      </c>
      <c r="G239" s="156" t="s">
        <v>195</v>
      </c>
      <c r="H239" s="128">
        <v>1</v>
      </c>
      <c r="I239" s="155">
        <v>1375000</v>
      </c>
      <c r="J239" s="129">
        <v>44748</v>
      </c>
      <c r="K239" s="128">
        <v>6</v>
      </c>
      <c r="L239" s="128" t="s">
        <v>121</v>
      </c>
      <c r="M239" s="157">
        <f>(J239+HLOOKUP(L239,Waranty!$A$1:$H$2,2,TRUE))</f>
        <v>44778</v>
      </c>
      <c r="N239" s="156" t="s">
        <v>122</v>
      </c>
      <c r="O239" s="158" t="s">
        <v>123</v>
      </c>
      <c r="P239" s="130" t="s">
        <v>124</v>
      </c>
      <c r="Q239" s="161" t="s">
        <v>125</v>
      </c>
    </row>
    <row r="240" spans="1:31" s="156" customFormat="1" ht="38.25" x14ac:dyDescent="0.2">
      <c r="B240" s="131" t="s">
        <v>126</v>
      </c>
      <c r="C240" s="132" t="s">
        <v>155</v>
      </c>
      <c r="D240" s="132" t="s">
        <v>336</v>
      </c>
      <c r="E240" s="132" t="s">
        <v>336</v>
      </c>
      <c r="F240" s="164" t="s">
        <v>216</v>
      </c>
      <c r="G240" s="132" t="s">
        <v>405</v>
      </c>
      <c r="H240" s="132">
        <v>1</v>
      </c>
      <c r="I240" s="154">
        <v>1375000</v>
      </c>
      <c r="J240" s="129">
        <v>44748</v>
      </c>
      <c r="K240" s="132">
        <v>6</v>
      </c>
      <c r="L240" s="132" t="s">
        <v>121</v>
      </c>
      <c r="M240" s="157">
        <f>(J240+HLOOKUP(L240,Waranty!$A$1:$H$2,2,TRUE))</f>
        <v>44778</v>
      </c>
      <c r="N240" s="156" t="s">
        <v>122</v>
      </c>
      <c r="O240" s="158" t="s">
        <v>123</v>
      </c>
      <c r="P240" s="133" t="s">
        <v>124</v>
      </c>
      <c r="Q240" s="161" t="s">
        <v>125</v>
      </c>
    </row>
    <row r="241" spans="2:17" s="156" customFormat="1" ht="38.25" x14ac:dyDescent="0.2">
      <c r="B241" s="131" t="s">
        <v>126</v>
      </c>
      <c r="C241" s="132" t="s">
        <v>131</v>
      </c>
      <c r="D241" s="132" t="s">
        <v>336</v>
      </c>
      <c r="E241" s="132" t="s">
        <v>336</v>
      </c>
      <c r="F241" s="164" t="s">
        <v>406</v>
      </c>
      <c r="G241" s="156" t="s">
        <v>140</v>
      </c>
      <c r="H241" s="132">
        <v>1</v>
      </c>
      <c r="I241" s="154">
        <v>759000</v>
      </c>
      <c r="J241" s="129">
        <v>44748</v>
      </c>
      <c r="K241" s="132">
        <v>6</v>
      </c>
      <c r="L241" s="132" t="s">
        <v>121</v>
      </c>
      <c r="M241" s="157">
        <f>(J241+HLOOKUP(L241,Waranty!$A$1:$H$2,2,TRUE))</f>
        <v>44778</v>
      </c>
      <c r="N241" s="156" t="s">
        <v>122</v>
      </c>
      <c r="O241" s="158" t="s">
        <v>123</v>
      </c>
      <c r="P241" s="133" t="s">
        <v>124</v>
      </c>
      <c r="Q241" s="161" t="s">
        <v>125</v>
      </c>
    </row>
    <row r="242" spans="2:17" s="156" customFormat="1" ht="38.25" x14ac:dyDescent="0.2">
      <c r="B242" s="131" t="s">
        <v>126</v>
      </c>
      <c r="C242" s="132" t="s">
        <v>131</v>
      </c>
      <c r="D242" s="132" t="s">
        <v>336</v>
      </c>
      <c r="E242" s="132" t="s">
        <v>336</v>
      </c>
      <c r="F242" s="164" t="s">
        <v>407</v>
      </c>
      <c r="G242" s="132" t="s">
        <v>213</v>
      </c>
      <c r="H242" s="132">
        <v>1</v>
      </c>
      <c r="I242" s="154">
        <v>759000</v>
      </c>
      <c r="J242" s="129">
        <v>44748</v>
      </c>
      <c r="K242" s="132">
        <v>6</v>
      </c>
      <c r="L242" s="132" t="s">
        <v>121</v>
      </c>
      <c r="M242" s="157">
        <f>(J242+HLOOKUP(L242,Waranty!$A$1:$H$2,2,TRUE))</f>
        <v>44778</v>
      </c>
      <c r="N242" s="156" t="s">
        <v>122</v>
      </c>
      <c r="O242" s="158" t="s">
        <v>123</v>
      </c>
      <c r="P242" s="133" t="s">
        <v>124</v>
      </c>
      <c r="Q242" s="161" t="s">
        <v>125</v>
      </c>
    </row>
    <row r="243" spans="2:17" s="156" customFormat="1" ht="28.15" customHeight="1" x14ac:dyDescent="0.2">
      <c r="B243" s="131" t="s">
        <v>408</v>
      </c>
      <c r="C243" s="132" t="s">
        <v>409</v>
      </c>
      <c r="D243" s="132" t="s">
        <v>336</v>
      </c>
      <c r="E243" s="132" t="s">
        <v>336</v>
      </c>
      <c r="F243" s="164" t="s">
        <v>158</v>
      </c>
      <c r="G243" s="156" t="s">
        <v>28</v>
      </c>
      <c r="H243" s="132">
        <v>3</v>
      </c>
      <c r="I243" s="154">
        <v>396000</v>
      </c>
      <c r="J243" s="129">
        <v>44748</v>
      </c>
      <c r="K243" s="132">
        <v>6</v>
      </c>
      <c r="L243" s="132" t="s">
        <v>166</v>
      </c>
      <c r="M243" s="157">
        <f>(J243+HLOOKUP(L243,Waranty!$A$1:$H$2,2,TRUE))</f>
        <v>44808</v>
      </c>
      <c r="N243" s="156" t="s">
        <v>122</v>
      </c>
      <c r="O243" s="158" t="s">
        <v>123</v>
      </c>
      <c r="P243" s="133" t="s">
        <v>124</v>
      </c>
      <c r="Q243" s="161" t="s">
        <v>125</v>
      </c>
    </row>
    <row r="244" spans="2:17" s="156" customFormat="1" ht="38.25" x14ac:dyDescent="0.2">
      <c r="B244" s="156" t="s">
        <v>410</v>
      </c>
      <c r="C244" s="156" t="s">
        <v>411</v>
      </c>
      <c r="F244" s="165" t="s">
        <v>158</v>
      </c>
      <c r="G244" s="156" t="s">
        <v>28</v>
      </c>
      <c r="H244" s="156">
        <v>2</v>
      </c>
      <c r="I244" s="159">
        <v>1100000</v>
      </c>
      <c r="J244" s="160" t="s">
        <v>412</v>
      </c>
      <c r="K244" s="132">
        <v>6</v>
      </c>
      <c r="L244" s="156" t="s">
        <v>121</v>
      </c>
      <c r="M244" s="157" t="e">
        <f>(J244+HLOOKUP(L244,Waranty!$A$1:$H$2,2,TRUE))</f>
        <v>#VALUE!</v>
      </c>
      <c r="N244" s="158" t="s">
        <v>399</v>
      </c>
      <c r="O244" s="156" t="s">
        <v>413</v>
      </c>
      <c r="P244" s="133" t="s">
        <v>124</v>
      </c>
      <c r="Q244" s="161" t="s">
        <v>125</v>
      </c>
    </row>
    <row r="245" spans="2:17" ht="38.25" x14ac:dyDescent="0.2">
      <c r="B245" s="99" t="s">
        <v>126</v>
      </c>
      <c r="C245" s="99" t="s">
        <v>414</v>
      </c>
      <c r="F245" s="165" t="s">
        <v>415</v>
      </c>
      <c r="G245" s="99" t="s">
        <v>140</v>
      </c>
      <c r="H245" s="99">
        <v>1</v>
      </c>
      <c r="I245" s="112">
        <v>935000</v>
      </c>
      <c r="J245" s="108" t="s">
        <v>416</v>
      </c>
      <c r="K245" s="132">
        <v>6</v>
      </c>
      <c r="L245" s="99" t="s">
        <v>121</v>
      </c>
      <c r="M245" s="157" t="e">
        <f>(J245+HLOOKUP(L245,Waranty!$A$1:$H$2,2,TRUE))</f>
        <v>#VALUE!</v>
      </c>
      <c r="N245" s="156" t="s">
        <v>122</v>
      </c>
      <c r="O245" s="99" t="s">
        <v>123</v>
      </c>
      <c r="P245" s="133" t="s">
        <v>124</v>
      </c>
      <c r="Q245" s="161" t="s">
        <v>125</v>
      </c>
    </row>
    <row r="246" spans="2:17" ht="38.25" x14ac:dyDescent="0.2">
      <c r="B246" s="99" t="s">
        <v>417</v>
      </c>
      <c r="C246" s="99" t="s">
        <v>138</v>
      </c>
      <c r="F246" s="165" t="s">
        <v>139</v>
      </c>
      <c r="G246" s="99" t="s">
        <v>140</v>
      </c>
      <c r="H246" s="99">
        <v>1</v>
      </c>
      <c r="I246" s="112">
        <v>1200000</v>
      </c>
      <c r="J246" s="108" t="s">
        <v>416</v>
      </c>
      <c r="K246" s="132">
        <v>6</v>
      </c>
      <c r="L246" s="99" t="s">
        <v>121</v>
      </c>
      <c r="M246" s="157" t="e">
        <f>(J246+HLOOKUP(L246,Waranty!$A$1:$H$2,2,TRUE))</f>
        <v>#VALUE!</v>
      </c>
      <c r="N246" s="156" t="s">
        <v>122</v>
      </c>
      <c r="O246" s="99" t="s">
        <v>418</v>
      </c>
      <c r="P246" s="133" t="s">
        <v>124</v>
      </c>
      <c r="Q246" s="161" t="s">
        <v>125</v>
      </c>
    </row>
    <row r="247" spans="2:17" ht="38.25" x14ac:dyDescent="0.2">
      <c r="B247" s="99" t="s">
        <v>116</v>
      </c>
      <c r="C247" s="99" t="s">
        <v>419</v>
      </c>
      <c r="F247" s="165" t="s">
        <v>420</v>
      </c>
      <c r="G247" s="99" t="s">
        <v>191</v>
      </c>
      <c r="H247" s="99">
        <v>1</v>
      </c>
      <c r="I247" s="112">
        <v>1450000</v>
      </c>
      <c r="J247" s="108" t="s">
        <v>416</v>
      </c>
      <c r="K247" s="132">
        <v>6</v>
      </c>
      <c r="L247" s="99" t="s">
        <v>121</v>
      </c>
      <c r="M247" s="157" t="e">
        <f>(J247+HLOOKUP(L247,Waranty!$A$1:$H$2,2,TRUE))</f>
        <v>#VALUE!</v>
      </c>
      <c r="N247" s="156" t="s">
        <v>122</v>
      </c>
      <c r="O247" s="99" t="s">
        <v>418</v>
      </c>
      <c r="P247" s="133" t="s">
        <v>124</v>
      </c>
      <c r="Q247" s="161" t="s">
        <v>125</v>
      </c>
    </row>
    <row r="248" spans="2:17" ht="38.25" x14ac:dyDescent="0.2">
      <c r="B248" s="99" t="s">
        <v>410</v>
      </c>
      <c r="C248" s="99" t="s">
        <v>131</v>
      </c>
      <c r="F248" s="165" t="s">
        <v>406</v>
      </c>
      <c r="G248" s="99" t="s">
        <v>140</v>
      </c>
      <c r="H248" s="99">
        <v>1</v>
      </c>
      <c r="I248" s="112">
        <v>605000</v>
      </c>
      <c r="J248" s="108" t="s">
        <v>421</v>
      </c>
      <c r="K248" s="132">
        <v>6</v>
      </c>
      <c r="L248" s="99" t="s">
        <v>121</v>
      </c>
      <c r="M248" s="157" t="e">
        <f>(J248+HLOOKUP(L248,Waranty!$A$1:$H$2,2,TRUE))</f>
        <v>#VALUE!</v>
      </c>
      <c r="N248" s="156" t="s">
        <v>122</v>
      </c>
      <c r="O248" s="99" t="s">
        <v>123</v>
      </c>
      <c r="P248" s="133" t="s">
        <v>124</v>
      </c>
      <c r="Q248" s="161" t="s">
        <v>125</v>
      </c>
    </row>
    <row r="249" spans="2:17" ht="38.25" x14ac:dyDescent="0.2">
      <c r="B249" s="99" t="s">
        <v>126</v>
      </c>
      <c r="C249" s="99" t="s">
        <v>155</v>
      </c>
      <c r="F249" s="165" t="s">
        <v>260</v>
      </c>
      <c r="G249" s="99" t="s">
        <v>140</v>
      </c>
      <c r="H249" s="99">
        <v>1</v>
      </c>
      <c r="I249" s="162">
        <v>1200000</v>
      </c>
      <c r="J249" s="108" t="s">
        <v>421</v>
      </c>
      <c r="K249" s="132">
        <v>6</v>
      </c>
      <c r="L249" s="99" t="s">
        <v>121</v>
      </c>
      <c r="M249" s="157" t="e">
        <f>(J249+HLOOKUP(L249,Waranty!$A$1:$H$2,2,TRUE))</f>
        <v>#VALUE!</v>
      </c>
      <c r="N249" s="156" t="s">
        <v>122</v>
      </c>
      <c r="O249" s="99" t="s">
        <v>418</v>
      </c>
      <c r="P249" s="133" t="s">
        <v>124</v>
      </c>
      <c r="Q249" s="161" t="s">
        <v>125</v>
      </c>
    </row>
    <row r="250" spans="2:17" x14ac:dyDescent="0.25">
      <c r="B250" s="99" t="s">
        <v>157</v>
      </c>
      <c r="C250" s="99" t="s">
        <v>333</v>
      </c>
      <c r="F250" s="165"/>
      <c r="I250" s="162">
        <v>1287000</v>
      </c>
    </row>
    <row r="251" spans="2:17" x14ac:dyDescent="0.25">
      <c r="B251" s="99" t="s">
        <v>157</v>
      </c>
      <c r="C251" s="99" t="s">
        <v>333</v>
      </c>
      <c r="F251" s="165"/>
      <c r="I251" s="162">
        <v>1670950</v>
      </c>
    </row>
    <row r="252" spans="2:17" ht="38.25" x14ac:dyDescent="0.2">
      <c r="B252" s="99" t="s">
        <v>116</v>
      </c>
      <c r="C252" s="99" t="s">
        <v>131</v>
      </c>
      <c r="F252" s="165" t="s">
        <v>422</v>
      </c>
      <c r="G252" s="99" t="s">
        <v>140</v>
      </c>
      <c r="H252" s="99">
        <v>1</v>
      </c>
      <c r="I252" s="162">
        <v>583000</v>
      </c>
      <c r="J252" s="108" t="s">
        <v>423</v>
      </c>
      <c r="K252" s="132">
        <v>6</v>
      </c>
      <c r="L252" s="99" t="s">
        <v>121</v>
      </c>
      <c r="N252" s="99" t="s">
        <v>122</v>
      </c>
      <c r="O252" s="99" t="s">
        <v>123</v>
      </c>
      <c r="P252" s="133" t="s">
        <v>124</v>
      </c>
      <c r="Q252" s="161" t="s">
        <v>125</v>
      </c>
    </row>
    <row r="253" spans="2:17" ht="38.25" x14ac:dyDescent="0.2">
      <c r="B253" s="99" t="s">
        <v>126</v>
      </c>
      <c r="C253" s="99" t="s">
        <v>424</v>
      </c>
      <c r="F253" s="165" t="s">
        <v>425</v>
      </c>
      <c r="G253" s="99" t="s">
        <v>234</v>
      </c>
      <c r="H253" s="99">
        <v>1</v>
      </c>
      <c r="I253" s="162">
        <v>1320000</v>
      </c>
      <c r="J253" s="108" t="s">
        <v>426</v>
      </c>
      <c r="K253" s="132">
        <v>6</v>
      </c>
      <c r="L253" s="99" t="s">
        <v>121</v>
      </c>
      <c r="N253" s="99" t="s">
        <v>122</v>
      </c>
      <c r="O253" s="99" t="s">
        <v>167</v>
      </c>
      <c r="P253" s="133" t="s">
        <v>124</v>
      </c>
      <c r="Q253" s="161" t="s">
        <v>125</v>
      </c>
    </row>
    <row r="254" spans="2:17" ht="38.25" x14ac:dyDescent="0.2">
      <c r="B254" s="99" t="s">
        <v>126</v>
      </c>
      <c r="C254" s="99" t="s">
        <v>414</v>
      </c>
      <c r="F254" s="165" t="s">
        <v>427</v>
      </c>
      <c r="G254" s="99" t="s">
        <v>120</v>
      </c>
      <c r="H254" s="99">
        <v>1</v>
      </c>
      <c r="I254" s="162">
        <v>935000</v>
      </c>
      <c r="J254" s="108" t="s">
        <v>428</v>
      </c>
      <c r="K254" s="99">
        <v>6</v>
      </c>
      <c r="L254" s="99" t="s">
        <v>121</v>
      </c>
      <c r="N254" s="99" t="s">
        <v>122</v>
      </c>
      <c r="O254" s="99" t="s">
        <v>123</v>
      </c>
      <c r="P254" s="133" t="s">
        <v>124</v>
      </c>
      <c r="Q254" s="161" t="s">
        <v>125</v>
      </c>
    </row>
    <row r="255" spans="2:17" x14ac:dyDescent="0.25">
      <c r="B255" s="102" t="s">
        <v>301</v>
      </c>
      <c r="C255" s="99" t="s">
        <v>429</v>
      </c>
      <c r="F255" s="165" t="s">
        <v>430</v>
      </c>
      <c r="G255" s="99" t="s">
        <v>140</v>
      </c>
      <c r="H255" s="99">
        <v>1</v>
      </c>
      <c r="I255" s="171">
        <v>950400</v>
      </c>
      <c r="J255" s="108" t="s">
        <v>428</v>
      </c>
      <c r="N255" s="99" t="s">
        <v>431</v>
      </c>
      <c r="O255" s="99" t="s">
        <v>302</v>
      </c>
      <c r="P255" s="101" t="s">
        <v>124</v>
      </c>
      <c r="Q255" s="150" t="s">
        <v>55</v>
      </c>
    </row>
    <row r="256" spans="2:17" x14ac:dyDescent="0.25">
      <c r="B256" s="102" t="s">
        <v>301</v>
      </c>
      <c r="C256" s="99" t="s">
        <v>429</v>
      </c>
      <c r="F256" s="165" t="s">
        <v>432</v>
      </c>
      <c r="G256" s="99" t="s">
        <v>140</v>
      </c>
      <c r="H256" s="99">
        <v>1</v>
      </c>
      <c r="I256" s="171">
        <v>950400</v>
      </c>
      <c r="J256" s="108" t="s">
        <v>428</v>
      </c>
      <c r="N256" s="99" t="s">
        <v>431</v>
      </c>
      <c r="O256" s="99" t="s">
        <v>302</v>
      </c>
      <c r="P256" s="101" t="s">
        <v>124</v>
      </c>
      <c r="Q256" s="150" t="s">
        <v>55</v>
      </c>
    </row>
    <row r="257" spans="2:17" x14ac:dyDescent="0.25">
      <c r="B257" s="102" t="s">
        <v>301</v>
      </c>
      <c r="C257" s="99" t="s">
        <v>429</v>
      </c>
      <c r="F257" s="165" t="s">
        <v>433</v>
      </c>
      <c r="G257" s="99" t="s">
        <v>226</v>
      </c>
      <c r="H257" s="99">
        <v>1</v>
      </c>
      <c r="I257" s="171">
        <v>950400</v>
      </c>
      <c r="J257" s="108" t="s">
        <v>428</v>
      </c>
      <c r="N257" s="99" t="s">
        <v>431</v>
      </c>
      <c r="O257" s="99" t="s">
        <v>302</v>
      </c>
      <c r="P257" s="101" t="s">
        <v>124</v>
      </c>
      <c r="Q257" s="150" t="s">
        <v>55</v>
      </c>
    </row>
    <row r="258" spans="2:17" x14ac:dyDescent="0.25">
      <c r="B258" s="102" t="s">
        <v>301</v>
      </c>
      <c r="C258" s="99" t="s">
        <v>429</v>
      </c>
      <c r="F258" s="165" t="s">
        <v>461</v>
      </c>
      <c r="G258" s="99" t="s">
        <v>140</v>
      </c>
      <c r="H258" s="99">
        <v>1</v>
      </c>
      <c r="I258" s="171">
        <v>950400</v>
      </c>
      <c r="J258" s="108" t="s">
        <v>428</v>
      </c>
      <c r="N258" s="99" t="s">
        <v>431</v>
      </c>
      <c r="O258" s="99" t="s">
        <v>302</v>
      </c>
      <c r="P258" s="101" t="s">
        <v>124</v>
      </c>
      <c r="Q258" s="150" t="s">
        <v>55</v>
      </c>
    </row>
    <row r="259" spans="2:17" x14ac:dyDescent="0.25">
      <c r="B259" s="102" t="s">
        <v>301</v>
      </c>
      <c r="C259" s="99" t="s">
        <v>429</v>
      </c>
      <c r="F259" s="165" t="s">
        <v>545</v>
      </c>
      <c r="G259" s="99" t="s">
        <v>128</v>
      </c>
      <c r="H259" s="99">
        <v>1</v>
      </c>
      <c r="I259" s="171">
        <v>950400</v>
      </c>
      <c r="J259" s="108" t="s">
        <v>428</v>
      </c>
      <c r="N259" s="99" t="s">
        <v>431</v>
      </c>
      <c r="O259" s="99" t="s">
        <v>302</v>
      </c>
      <c r="P259" s="101" t="s">
        <v>124</v>
      </c>
      <c r="Q259" s="150" t="s">
        <v>55</v>
      </c>
    </row>
    <row r="260" spans="2:17" ht="38.25" customHeight="1" x14ac:dyDescent="0.2">
      <c r="B260" s="99" t="s">
        <v>188</v>
      </c>
      <c r="C260" s="99" t="s">
        <v>434</v>
      </c>
      <c r="F260" s="172" t="s">
        <v>435</v>
      </c>
      <c r="G260" s="99" t="s">
        <v>149</v>
      </c>
      <c r="I260" s="162">
        <v>176000</v>
      </c>
      <c r="J260" s="187" t="s">
        <v>428</v>
      </c>
      <c r="L260" s="193" t="s">
        <v>154</v>
      </c>
      <c r="N260" s="193" t="s">
        <v>122</v>
      </c>
      <c r="O260" s="193" t="s">
        <v>123</v>
      </c>
      <c r="P260" s="193" t="s">
        <v>124</v>
      </c>
      <c r="Q260" s="190" t="s">
        <v>125</v>
      </c>
    </row>
    <row r="261" spans="2:17" ht="15.75" customHeight="1" x14ac:dyDescent="0.2">
      <c r="B261" s="99" t="s">
        <v>188</v>
      </c>
      <c r="C261" s="99" t="s">
        <v>434</v>
      </c>
      <c r="F261" s="172" t="s">
        <v>436</v>
      </c>
      <c r="G261" s="99" t="s">
        <v>120</v>
      </c>
      <c r="I261" s="162">
        <v>176000</v>
      </c>
      <c r="J261" s="188"/>
      <c r="L261" s="194"/>
      <c r="N261" s="194"/>
      <c r="O261" s="194"/>
      <c r="P261" s="194"/>
      <c r="Q261" s="191"/>
    </row>
    <row r="262" spans="2:17" ht="15.75" customHeight="1" x14ac:dyDescent="0.2">
      <c r="B262" s="99" t="s">
        <v>188</v>
      </c>
      <c r="C262" s="99" t="s">
        <v>434</v>
      </c>
      <c r="F262" s="172" t="s">
        <v>437</v>
      </c>
      <c r="G262" s="170" t="s">
        <v>120</v>
      </c>
      <c r="I262" s="162">
        <v>176000</v>
      </c>
      <c r="J262" s="188"/>
      <c r="L262" s="194"/>
      <c r="N262" s="194"/>
      <c r="O262" s="194"/>
      <c r="P262" s="194"/>
      <c r="Q262" s="191"/>
    </row>
    <row r="263" spans="2:17" ht="15.75" customHeight="1" x14ac:dyDescent="0.2">
      <c r="B263" s="99" t="s">
        <v>188</v>
      </c>
      <c r="C263" s="99" t="s">
        <v>434</v>
      </c>
      <c r="F263" s="172" t="s">
        <v>438</v>
      </c>
      <c r="G263" s="170" t="s">
        <v>120</v>
      </c>
      <c r="I263" s="162">
        <v>176000</v>
      </c>
      <c r="J263" s="188"/>
      <c r="L263" s="194"/>
      <c r="N263" s="194"/>
      <c r="O263" s="194"/>
      <c r="P263" s="194"/>
      <c r="Q263" s="191"/>
    </row>
    <row r="264" spans="2:17" ht="15.75" customHeight="1" x14ac:dyDescent="0.2">
      <c r="B264" s="99" t="s">
        <v>188</v>
      </c>
      <c r="C264" s="99" t="s">
        <v>434</v>
      </c>
      <c r="F264" s="172" t="s">
        <v>439</v>
      </c>
      <c r="G264" s="170" t="s">
        <v>440</v>
      </c>
      <c r="I264" s="162">
        <v>176000</v>
      </c>
      <c r="J264" s="188"/>
      <c r="L264" s="194"/>
      <c r="N264" s="194"/>
      <c r="O264" s="194"/>
      <c r="P264" s="194"/>
      <c r="Q264" s="191"/>
    </row>
    <row r="265" spans="2:17" ht="15.75" customHeight="1" x14ac:dyDescent="0.2">
      <c r="B265" s="99" t="s">
        <v>188</v>
      </c>
      <c r="C265" s="99" t="s">
        <v>434</v>
      </c>
      <c r="F265" s="172" t="s">
        <v>441</v>
      </c>
      <c r="G265" s="170" t="s">
        <v>120</v>
      </c>
      <c r="I265" s="162">
        <v>176000</v>
      </c>
      <c r="J265" s="188"/>
      <c r="L265" s="194"/>
      <c r="N265" s="194"/>
      <c r="O265" s="194"/>
      <c r="P265" s="194"/>
      <c r="Q265" s="191"/>
    </row>
    <row r="266" spans="2:17" ht="15.75" customHeight="1" x14ac:dyDescent="0.2">
      <c r="B266" s="99" t="s">
        <v>188</v>
      </c>
      <c r="C266" s="99" t="s">
        <v>434</v>
      </c>
      <c r="F266" s="172" t="s">
        <v>442</v>
      </c>
      <c r="G266" s="170" t="s">
        <v>120</v>
      </c>
      <c r="I266" s="162">
        <v>176000</v>
      </c>
      <c r="J266" s="188"/>
      <c r="L266" s="194"/>
      <c r="N266" s="194"/>
      <c r="O266" s="194"/>
      <c r="P266" s="194"/>
      <c r="Q266" s="191"/>
    </row>
    <row r="267" spans="2:17" ht="15.75" customHeight="1" x14ac:dyDescent="0.2">
      <c r="B267" s="99" t="s">
        <v>188</v>
      </c>
      <c r="C267" s="99" t="s">
        <v>434</v>
      </c>
      <c r="F267" s="172" t="s">
        <v>443</v>
      </c>
      <c r="G267" s="170" t="s">
        <v>142</v>
      </c>
      <c r="I267" s="162">
        <v>176000</v>
      </c>
      <c r="J267" s="188"/>
      <c r="L267" s="194"/>
      <c r="N267" s="194"/>
      <c r="O267" s="194"/>
      <c r="P267" s="194"/>
      <c r="Q267" s="191"/>
    </row>
    <row r="268" spans="2:17" ht="15.75" customHeight="1" x14ac:dyDescent="0.2">
      <c r="B268" s="99" t="s">
        <v>188</v>
      </c>
      <c r="C268" s="99" t="s">
        <v>434</v>
      </c>
      <c r="F268" s="172" t="s">
        <v>444</v>
      </c>
      <c r="G268" s="170" t="s">
        <v>445</v>
      </c>
      <c r="I268" s="162">
        <v>176000</v>
      </c>
      <c r="J268" s="188"/>
      <c r="L268" s="194"/>
      <c r="N268" s="194"/>
      <c r="O268" s="194"/>
      <c r="P268" s="194"/>
      <c r="Q268" s="191"/>
    </row>
    <row r="269" spans="2:17" ht="15.75" customHeight="1" x14ac:dyDescent="0.2">
      <c r="B269" s="99" t="s">
        <v>188</v>
      </c>
      <c r="C269" s="99" t="s">
        <v>434</v>
      </c>
      <c r="F269" s="172" t="s">
        <v>446</v>
      </c>
      <c r="G269" s="170" t="s">
        <v>445</v>
      </c>
      <c r="I269" s="162">
        <v>176000</v>
      </c>
      <c r="J269" s="188"/>
      <c r="L269" s="194"/>
      <c r="N269" s="194"/>
      <c r="O269" s="194"/>
      <c r="P269" s="194"/>
      <c r="Q269" s="191"/>
    </row>
    <row r="270" spans="2:17" ht="15.75" customHeight="1" x14ac:dyDescent="0.2">
      <c r="B270" s="99" t="s">
        <v>188</v>
      </c>
      <c r="C270" s="99" t="s">
        <v>434</v>
      </c>
      <c r="F270" s="172" t="s">
        <v>447</v>
      </c>
      <c r="G270" s="170" t="s">
        <v>134</v>
      </c>
      <c r="I270" s="162">
        <v>176000</v>
      </c>
      <c r="J270" s="188"/>
      <c r="L270" s="194"/>
      <c r="N270" s="194"/>
      <c r="O270" s="194"/>
      <c r="P270" s="194"/>
      <c r="Q270" s="191"/>
    </row>
    <row r="271" spans="2:17" ht="15.75" customHeight="1" x14ac:dyDescent="0.2">
      <c r="B271" s="99" t="s">
        <v>188</v>
      </c>
      <c r="C271" s="99" t="s">
        <v>434</v>
      </c>
      <c r="F271" s="172" t="s">
        <v>448</v>
      </c>
      <c r="G271" s="170" t="s">
        <v>134</v>
      </c>
      <c r="I271" s="162">
        <v>176000</v>
      </c>
      <c r="J271" s="188"/>
      <c r="L271" s="194"/>
      <c r="N271" s="194"/>
      <c r="O271" s="194"/>
      <c r="P271" s="194"/>
      <c r="Q271" s="191"/>
    </row>
    <row r="272" spans="2:17" ht="15.75" customHeight="1" x14ac:dyDescent="0.2">
      <c r="B272" s="99" t="s">
        <v>188</v>
      </c>
      <c r="C272" s="99" t="s">
        <v>434</v>
      </c>
      <c r="F272" s="172" t="s">
        <v>449</v>
      </c>
      <c r="G272" s="170" t="s">
        <v>191</v>
      </c>
      <c r="I272" s="162">
        <v>176000</v>
      </c>
      <c r="J272" s="188"/>
      <c r="L272" s="194"/>
      <c r="N272" s="194"/>
      <c r="O272" s="194"/>
      <c r="P272" s="194"/>
      <c r="Q272" s="191"/>
    </row>
    <row r="273" spans="2:17" ht="15.75" customHeight="1" x14ac:dyDescent="0.2">
      <c r="B273" s="99" t="s">
        <v>188</v>
      </c>
      <c r="C273" s="99" t="s">
        <v>434</v>
      </c>
      <c r="F273" s="172" t="s">
        <v>450</v>
      </c>
      <c r="G273" s="170" t="s">
        <v>146</v>
      </c>
      <c r="I273" s="162">
        <v>176000</v>
      </c>
      <c r="J273" s="188"/>
      <c r="L273" s="194"/>
      <c r="N273" s="194"/>
      <c r="O273" s="194"/>
      <c r="P273" s="194"/>
      <c r="Q273" s="191"/>
    </row>
    <row r="274" spans="2:17" ht="15.75" customHeight="1" x14ac:dyDescent="0.2">
      <c r="B274" s="99" t="s">
        <v>188</v>
      </c>
      <c r="C274" s="99" t="s">
        <v>434</v>
      </c>
      <c r="F274" s="172" t="s">
        <v>451</v>
      </c>
      <c r="G274" s="170" t="s">
        <v>149</v>
      </c>
      <c r="I274" s="162">
        <v>176000</v>
      </c>
      <c r="J274" s="188"/>
      <c r="L274" s="194"/>
      <c r="N274" s="194"/>
      <c r="O274" s="194"/>
      <c r="P274" s="194"/>
      <c r="Q274" s="191"/>
    </row>
    <row r="275" spans="2:17" ht="15.75" customHeight="1" x14ac:dyDescent="0.2">
      <c r="B275" s="99" t="s">
        <v>188</v>
      </c>
      <c r="C275" s="99" t="s">
        <v>434</v>
      </c>
      <c r="F275" s="172" t="s">
        <v>452</v>
      </c>
      <c r="G275" s="170" t="s">
        <v>142</v>
      </c>
      <c r="I275" s="162">
        <v>176000</v>
      </c>
      <c r="J275" s="188"/>
      <c r="L275" s="194"/>
      <c r="N275" s="194"/>
      <c r="O275" s="194"/>
      <c r="P275" s="194"/>
      <c r="Q275" s="191"/>
    </row>
    <row r="276" spans="2:17" ht="15.75" customHeight="1" x14ac:dyDescent="0.2">
      <c r="B276" s="99" t="s">
        <v>188</v>
      </c>
      <c r="C276" s="99" t="s">
        <v>434</v>
      </c>
      <c r="F276" s="172" t="s">
        <v>453</v>
      </c>
      <c r="G276" s="170" t="s">
        <v>128</v>
      </c>
      <c r="I276" s="162">
        <v>176000</v>
      </c>
      <c r="J276" s="188"/>
      <c r="L276" s="194"/>
      <c r="N276" s="194"/>
      <c r="O276" s="194"/>
      <c r="P276" s="194"/>
      <c r="Q276" s="191"/>
    </row>
    <row r="277" spans="2:17" ht="15.75" customHeight="1" x14ac:dyDescent="0.2">
      <c r="B277" s="99" t="s">
        <v>188</v>
      </c>
      <c r="C277" s="99" t="s">
        <v>434</v>
      </c>
      <c r="F277" s="172" t="s">
        <v>454</v>
      </c>
      <c r="G277" s="170" t="s">
        <v>128</v>
      </c>
      <c r="I277" s="162">
        <v>176000</v>
      </c>
      <c r="J277" s="188"/>
      <c r="L277" s="194"/>
      <c r="N277" s="194"/>
      <c r="O277" s="194"/>
      <c r="P277" s="194"/>
      <c r="Q277" s="191"/>
    </row>
    <row r="278" spans="2:17" ht="15.75" customHeight="1" x14ac:dyDescent="0.2">
      <c r="B278" s="99" t="s">
        <v>188</v>
      </c>
      <c r="C278" s="99" t="s">
        <v>434</v>
      </c>
      <c r="F278" s="172" t="s">
        <v>455</v>
      </c>
      <c r="G278" s="170" t="s">
        <v>226</v>
      </c>
      <c r="I278" s="162">
        <v>176000</v>
      </c>
      <c r="J278" s="188"/>
      <c r="L278" s="194"/>
      <c r="N278" s="194"/>
      <c r="O278" s="194"/>
      <c r="P278" s="194"/>
      <c r="Q278" s="191"/>
    </row>
    <row r="279" spans="2:17" ht="15.75" customHeight="1" x14ac:dyDescent="0.2">
      <c r="B279" s="99" t="s">
        <v>188</v>
      </c>
      <c r="C279" s="99" t="s">
        <v>434</v>
      </c>
      <c r="F279" s="172" t="s">
        <v>456</v>
      </c>
      <c r="G279" s="170" t="s">
        <v>226</v>
      </c>
      <c r="I279" s="162">
        <v>176000</v>
      </c>
      <c r="J279" s="188"/>
      <c r="L279" s="194"/>
      <c r="N279" s="194"/>
      <c r="O279" s="194"/>
      <c r="P279" s="194"/>
      <c r="Q279" s="191"/>
    </row>
    <row r="280" spans="2:17" ht="15.75" customHeight="1" x14ac:dyDescent="0.2">
      <c r="B280" s="99" t="s">
        <v>188</v>
      </c>
      <c r="C280" s="99" t="s">
        <v>434</v>
      </c>
      <c r="F280" s="172" t="s">
        <v>457</v>
      </c>
      <c r="G280" s="170" t="s">
        <v>226</v>
      </c>
      <c r="I280" s="162">
        <v>176000</v>
      </c>
      <c r="J280" s="188"/>
      <c r="L280" s="194"/>
      <c r="N280" s="194"/>
      <c r="O280" s="194"/>
      <c r="P280" s="194"/>
      <c r="Q280" s="191"/>
    </row>
    <row r="281" spans="2:17" ht="15.75" customHeight="1" x14ac:dyDescent="0.2">
      <c r="B281" s="99" t="s">
        <v>188</v>
      </c>
      <c r="C281" s="99" t="s">
        <v>434</v>
      </c>
      <c r="F281" s="172" t="s">
        <v>458</v>
      </c>
      <c r="G281" s="170" t="s">
        <v>226</v>
      </c>
      <c r="I281" s="162">
        <v>176000</v>
      </c>
      <c r="J281" s="188"/>
      <c r="L281" s="194"/>
      <c r="N281" s="194"/>
      <c r="O281" s="194"/>
      <c r="P281" s="194"/>
      <c r="Q281" s="191"/>
    </row>
    <row r="282" spans="2:17" ht="15.75" customHeight="1" x14ac:dyDescent="0.2">
      <c r="B282" s="99" t="s">
        <v>188</v>
      </c>
      <c r="C282" s="99" t="s">
        <v>434</v>
      </c>
      <c r="F282" s="172"/>
      <c r="G282" s="170"/>
      <c r="I282" s="162">
        <v>176000</v>
      </c>
      <c r="J282" s="188"/>
      <c r="L282" s="194"/>
      <c r="N282" s="194"/>
      <c r="O282" s="194"/>
      <c r="P282" s="194"/>
      <c r="Q282" s="191"/>
    </row>
    <row r="283" spans="2:17" ht="15.75" customHeight="1" x14ac:dyDescent="0.2">
      <c r="B283" s="99" t="s">
        <v>188</v>
      </c>
      <c r="C283" s="99" t="s">
        <v>434</v>
      </c>
      <c r="F283" s="172" t="s">
        <v>459</v>
      </c>
      <c r="G283" s="170" t="s">
        <v>460</v>
      </c>
      <c r="I283" s="162">
        <v>176000</v>
      </c>
      <c r="J283" s="188"/>
      <c r="L283" s="194"/>
      <c r="N283" s="194"/>
      <c r="O283" s="194"/>
      <c r="P283" s="194"/>
      <c r="Q283" s="191"/>
    </row>
    <row r="284" spans="2:17" ht="15.75" customHeight="1" x14ac:dyDescent="0.2">
      <c r="B284" s="99" t="s">
        <v>188</v>
      </c>
      <c r="C284" s="99" t="s">
        <v>434</v>
      </c>
      <c r="F284" s="172"/>
      <c r="G284" s="170" t="s">
        <v>460</v>
      </c>
      <c r="I284" s="162">
        <v>176000</v>
      </c>
      <c r="J284" s="188"/>
      <c r="L284" s="194"/>
      <c r="N284" s="194"/>
      <c r="O284" s="194"/>
      <c r="P284" s="194"/>
      <c r="Q284" s="191"/>
    </row>
    <row r="285" spans="2:17" ht="15.75" customHeight="1" x14ac:dyDescent="0.2">
      <c r="B285" s="99" t="s">
        <v>188</v>
      </c>
      <c r="C285" s="99" t="s">
        <v>434</v>
      </c>
      <c r="F285" s="172" t="s">
        <v>462</v>
      </c>
      <c r="G285" s="170" t="s">
        <v>460</v>
      </c>
      <c r="I285" s="162">
        <v>176000</v>
      </c>
      <c r="J285" s="188"/>
      <c r="L285" s="194"/>
      <c r="N285" s="194"/>
      <c r="O285" s="194"/>
      <c r="P285" s="194"/>
      <c r="Q285" s="191"/>
    </row>
    <row r="286" spans="2:17" ht="15.75" customHeight="1" x14ac:dyDescent="0.2">
      <c r="B286" s="99" t="s">
        <v>188</v>
      </c>
      <c r="C286" s="99" t="s">
        <v>434</v>
      </c>
      <c r="F286" s="172" t="s">
        <v>463</v>
      </c>
      <c r="G286" s="170" t="s">
        <v>460</v>
      </c>
      <c r="I286" s="162">
        <v>176000</v>
      </c>
      <c r="J286" s="188"/>
      <c r="L286" s="194"/>
      <c r="N286" s="194"/>
      <c r="O286" s="194"/>
      <c r="P286" s="194"/>
      <c r="Q286" s="191"/>
    </row>
    <row r="287" spans="2:17" ht="15.75" customHeight="1" x14ac:dyDescent="0.2">
      <c r="B287" s="99" t="s">
        <v>188</v>
      </c>
      <c r="C287" s="99" t="s">
        <v>434</v>
      </c>
      <c r="F287" s="172" t="s">
        <v>464</v>
      </c>
      <c r="G287" s="170" t="s">
        <v>460</v>
      </c>
      <c r="I287" s="162">
        <v>176000</v>
      </c>
      <c r="J287" s="188"/>
      <c r="L287" s="194"/>
      <c r="N287" s="194"/>
      <c r="O287" s="194"/>
      <c r="P287" s="194"/>
      <c r="Q287" s="191"/>
    </row>
    <row r="288" spans="2:17" ht="15.75" customHeight="1" x14ac:dyDescent="0.2">
      <c r="B288" s="99" t="s">
        <v>188</v>
      </c>
      <c r="C288" s="99" t="s">
        <v>434</v>
      </c>
      <c r="F288" s="172" t="s">
        <v>465</v>
      </c>
      <c r="G288" s="170" t="s">
        <v>460</v>
      </c>
      <c r="I288" s="162">
        <v>176000</v>
      </c>
      <c r="J288" s="188"/>
      <c r="L288" s="194"/>
      <c r="N288" s="194"/>
      <c r="O288" s="194"/>
      <c r="P288" s="194"/>
      <c r="Q288" s="191"/>
    </row>
    <row r="289" spans="2:17" ht="15.75" customHeight="1" x14ac:dyDescent="0.2">
      <c r="B289" s="99" t="s">
        <v>188</v>
      </c>
      <c r="C289" s="99" t="s">
        <v>434</v>
      </c>
      <c r="F289" s="172" t="s">
        <v>554</v>
      </c>
      <c r="G289" s="170" t="s">
        <v>191</v>
      </c>
      <c r="I289" s="162">
        <v>176000</v>
      </c>
      <c r="J289" s="189"/>
      <c r="L289" s="195"/>
      <c r="N289" s="195"/>
      <c r="O289" s="195"/>
      <c r="P289" s="195"/>
      <c r="Q289" s="192"/>
    </row>
    <row r="290" spans="2:17" ht="38.25" x14ac:dyDescent="0.25">
      <c r="B290" s="99" t="s">
        <v>466</v>
      </c>
      <c r="C290" s="99" t="s">
        <v>467</v>
      </c>
      <c r="F290" s="165" t="s">
        <v>468</v>
      </c>
      <c r="G290" s="99" t="s">
        <v>120</v>
      </c>
      <c r="I290" s="162">
        <v>735000</v>
      </c>
      <c r="J290" s="108" t="s">
        <v>469</v>
      </c>
      <c r="O290" s="99" t="s">
        <v>302</v>
      </c>
      <c r="P290" s="101" t="s">
        <v>124</v>
      </c>
      <c r="Q290" s="161" t="s">
        <v>125</v>
      </c>
    </row>
    <row r="291" spans="2:17" ht="38.25" x14ac:dyDescent="0.25">
      <c r="B291" s="99" t="s">
        <v>466</v>
      </c>
      <c r="C291" s="99" t="s">
        <v>470</v>
      </c>
      <c r="F291" s="165" t="s">
        <v>471</v>
      </c>
      <c r="G291" s="99" t="s">
        <v>120</v>
      </c>
      <c r="I291" s="162">
        <v>945000</v>
      </c>
      <c r="J291" s="108" t="s">
        <v>469</v>
      </c>
      <c r="O291" s="99" t="s">
        <v>302</v>
      </c>
      <c r="P291" s="101" t="s">
        <v>124</v>
      </c>
      <c r="Q291" s="161" t="s">
        <v>125</v>
      </c>
    </row>
    <row r="292" spans="2:17" x14ac:dyDescent="0.25">
      <c r="B292" s="102" t="s">
        <v>157</v>
      </c>
      <c r="C292" s="102"/>
      <c r="D292" s="102"/>
      <c r="E292" s="102"/>
      <c r="F292" s="165" t="s">
        <v>158</v>
      </c>
      <c r="G292" s="102" t="s">
        <v>28</v>
      </c>
      <c r="H292" s="102"/>
      <c r="I292" s="112">
        <v>3910000</v>
      </c>
      <c r="J292" s="103"/>
      <c r="K292" s="104"/>
      <c r="L292" s="102" t="s">
        <v>159</v>
      </c>
      <c r="M292" s="105"/>
      <c r="N292" s="102" t="s">
        <v>160</v>
      </c>
      <c r="O292" s="102" t="s">
        <v>230</v>
      </c>
    </row>
    <row r="293" spans="2:17" x14ac:dyDescent="0.25">
      <c r="B293" s="102" t="s">
        <v>157</v>
      </c>
      <c r="C293" s="102"/>
      <c r="D293" s="102"/>
      <c r="E293" s="102"/>
      <c r="F293" s="165" t="s">
        <v>158</v>
      </c>
      <c r="G293" s="102" t="s">
        <v>332</v>
      </c>
      <c r="H293" s="102"/>
      <c r="I293" s="112">
        <v>660000</v>
      </c>
      <c r="J293" s="103"/>
      <c r="K293" s="104"/>
      <c r="L293" s="102" t="s">
        <v>159</v>
      </c>
      <c r="M293" s="105"/>
      <c r="N293" s="102" t="s">
        <v>160</v>
      </c>
      <c r="O293" s="102" t="s">
        <v>230</v>
      </c>
    </row>
    <row r="294" spans="2:17" x14ac:dyDescent="0.25">
      <c r="B294" s="99" t="s">
        <v>472</v>
      </c>
      <c r="C294" s="99" t="s">
        <v>473</v>
      </c>
      <c r="F294" s="165" t="s">
        <v>28</v>
      </c>
      <c r="G294" s="102" t="s">
        <v>28</v>
      </c>
      <c r="H294" s="99">
        <v>1</v>
      </c>
      <c r="I294" s="162">
        <v>954000</v>
      </c>
      <c r="P294" s="101" t="s">
        <v>124</v>
      </c>
      <c r="Q294" s="150" t="s">
        <v>55</v>
      </c>
    </row>
    <row r="295" spans="2:17" ht="38.25" x14ac:dyDescent="0.25">
      <c r="B295" s="99" t="s">
        <v>116</v>
      </c>
      <c r="C295" s="99" t="s">
        <v>419</v>
      </c>
      <c r="F295" s="165" t="s">
        <v>474</v>
      </c>
      <c r="G295" s="99" t="s">
        <v>149</v>
      </c>
      <c r="H295" s="99">
        <v>1</v>
      </c>
      <c r="I295" s="162">
        <v>1450000</v>
      </c>
      <c r="J295" s="108">
        <v>44747</v>
      </c>
      <c r="K295" s="99">
        <v>6</v>
      </c>
      <c r="L295" s="99" t="s">
        <v>121</v>
      </c>
      <c r="N295" s="99" t="s">
        <v>122</v>
      </c>
      <c r="O295" s="99" t="s">
        <v>418</v>
      </c>
      <c r="P295" s="101" t="s">
        <v>124</v>
      </c>
      <c r="Q295" s="161" t="s">
        <v>125</v>
      </c>
    </row>
    <row r="296" spans="2:17" ht="38.25" x14ac:dyDescent="0.2">
      <c r="B296" s="99" t="s">
        <v>126</v>
      </c>
      <c r="C296" s="99" t="s">
        <v>424</v>
      </c>
      <c r="F296" s="165" t="s">
        <v>475</v>
      </c>
      <c r="G296" s="99" t="s">
        <v>234</v>
      </c>
      <c r="H296" s="99">
        <v>1</v>
      </c>
      <c r="I296" s="162">
        <v>1320000</v>
      </c>
      <c r="J296" s="108">
        <v>44747</v>
      </c>
      <c r="K296" s="132">
        <v>6</v>
      </c>
      <c r="L296" s="99" t="s">
        <v>121</v>
      </c>
      <c r="N296" s="99" t="s">
        <v>122</v>
      </c>
      <c r="O296" s="99" t="s">
        <v>167</v>
      </c>
      <c r="P296" s="133" t="s">
        <v>124</v>
      </c>
      <c r="Q296" s="161" t="s">
        <v>125</v>
      </c>
    </row>
    <row r="297" spans="2:17" ht="38.25" x14ac:dyDescent="0.2">
      <c r="B297" s="99" t="s">
        <v>476</v>
      </c>
      <c r="F297" s="165" t="s">
        <v>477</v>
      </c>
      <c r="G297" s="99" t="s">
        <v>158</v>
      </c>
      <c r="H297" s="99">
        <v>100</v>
      </c>
      <c r="I297" s="162">
        <v>580000</v>
      </c>
      <c r="J297" s="108">
        <v>44748</v>
      </c>
      <c r="K297" s="99">
        <v>6</v>
      </c>
      <c r="N297" s="158" t="s">
        <v>399</v>
      </c>
      <c r="O297" s="99" t="s">
        <v>167</v>
      </c>
      <c r="P297" s="133" t="s">
        <v>124</v>
      </c>
      <c r="Q297" s="161" t="s">
        <v>125</v>
      </c>
    </row>
    <row r="298" spans="2:17" ht="38.25" x14ac:dyDescent="0.2">
      <c r="B298" s="99" t="s">
        <v>126</v>
      </c>
      <c r="C298" s="99" t="s">
        <v>542</v>
      </c>
      <c r="F298" s="99" t="s">
        <v>543</v>
      </c>
      <c r="G298" s="99" t="s">
        <v>213</v>
      </c>
      <c r="H298" s="99">
        <v>1</v>
      </c>
      <c r="I298" s="162">
        <v>759000</v>
      </c>
      <c r="J298" s="108">
        <v>44749</v>
      </c>
      <c r="K298" s="173">
        <v>6</v>
      </c>
      <c r="L298" s="99" t="s">
        <v>121</v>
      </c>
      <c r="N298" s="99" t="s">
        <v>122</v>
      </c>
      <c r="O298" s="99" t="s">
        <v>123</v>
      </c>
      <c r="P298" s="133" t="s">
        <v>124</v>
      </c>
      <c r="Q298" s="161" t="s">
        <v>125</v>
      </c>
    </row>
    <row r="299" spans="2:17" ht="38.25" x14ac:dyDescent="0.2">
      <c r="B299" s="99" t="s">
        <v>143</v>
      </c>
      <c r="C299" s="99" t="s">
        <v>467</v>
      </c>
      <c r="F299" s="99" t="s">
        <v>544</v>
      </c>
      <c r="G299" s="99" t="s">
        <v>142</v>
      </c>
      <c r="I299" s="162">
        <v>1980000</v>
      </c>
      <c r="J299" s="108">
        <v>44749</v>
      </c>
      <c r="K299" s="173">
        <v>6</v>
      </c>
      <c r="N299" s="99" t="s">
        <v>122</v>
      </c>
      <c r="O299" s="99" t="s">
        <v>302</v>
      </c>
      <c r="P299" s="133" t="s">
        <v>124</v>
      </c>
      <c r="Q299" s="161" t="s">
        <v>125</v>
      </c>
    </row>
    <row r="300" spans="2:17" x14ac:dyDescent="0.2">
      <c r="B300" s="99" t="s">
        <v>546</v>
      </c>
      <c r="C300" s="99" t="s">
        <v>547</v>
      </c>
      <c r="I300" s="162">
        <v>40370000</v>
      </c>
      <c r="J300" s="108">
        <v>44750</v>
      </c>
      <c r="K300" s="173">
        <v>6</v>
      </c>
      <c r="N300" s="99" t="s">
        <v>399</v>
      </c>
      <c r="O300" s="99" t="s">
        <v>167</v>
      </c>
      <c r="P300" s="133" t="s">
        <v>124</v>
      </c>
    </row>
    <row r="301" spans="2:17" x14ac:dyDescent="0.2">
      <c r="B301" s="99" t="s">
        <v>546</v>
      </c>
      <c r="C301" s="99" t="s">
        <v>548</v>
      </c>
      <c r="I301" s="162">
        <v>43340000</v>
      </c>
      <c r="J301" s="108">
        <v>44750</v>
      </c>
      <c r="K301" s="173">
        <v>6</v>
      </c>
      <c r="N301" s="99" t="s">
        <v>399</v>
      </c>
      <c r="O301" s="99" t="s">
        <v>167</v>
      </c>
      <c r="P301" s="133" t="s">
        <v>124</v>
      </c>
    </row>
    <row r="302" spans="2:17" x14ac:dyDescent="0.2">
      <c r="B302" s="99" t="s">
        <v>549</v>
      </c>
      <c r="F302" s="99" t="s">
        <v>477</v>
      </c>
      <c r="G302" s="99" t="s">
        <v>158</v>
      </c>
      <c r="H302" s="99">
        <v>2</v>
      </c>
      <c r="I302" s="162">
        <v>194400</v>
      </c>
      <c r="J302" s="108">
        <v>44750</v>
      </c>
      <c r="K302" s="173">
        <v>6</v>
      </c>
      <c r="N302" s="99" t="s">
        <v>399</v>
      </c>
      <c r="O302" s="99" t="s">
        <v>167</v>
      </c>
      <c r="P302" s="133" t="s">
        <v>124</v>
      </c>
    </row>
    <row r="303" spans="2:17" x14ac:dyDescent="0.2">
      <c r="B303" s="99" t="s">
        <v>546</v>
      </c>
      <c r="C303" s="99" t="s">
        <v>550</v>
      </c>
      <c r="F303" s="99" t="s">
        <v>551</v>
      </c>
      <c r="G303" s="99" t="s">
        <v>552</v>
      </c>
      <c r="H303" s="99">
        <v>1</v>
      </c>
      <c r="I303" s="162">
        <v>24750000</v>
      </c>
      <c r="J303" s="108">
        <v>44746</v>
      </c>
      <c r="K303" s="173">
        <v>6</v>
      </c>
      <c r="N303" s="99" t="s">
        <v>399</v>
      </c>
      <c r="O303" s="99" t="s">
        <v>167</v>
      </c>
      <c r="P303" s="133" t="s">
        <v>124</v>
      </c>
    </row>
    <row r="304" spans="2:17" x14ac:dyDescent="0.25">
      <c r="B304" s="99" t="s">
        <v>186</v>
      </c>
      <c r="F304" s="99" t="s">
        <v>553</v>
      </c>
      <c r="G304" s="99" t="s">
        <v>553</v>
      </c>
      <c r="H304" s="99">
        <v>1</v>
      </c>
      <c r="I304" s="162">
        <v>1470000</v>
      </c>
      <c r="J304" s="108">
        <v>44753</v>
      </c>
      <c r="K304" s="173">
        <v>6</v>
      </c>
      <c r="N304" s="99" t="s">
        <v>160</v>
      </c>
      <c r="O304" s="99" t="s">
        <v>123</v>
      </c>
      <c r="P304" s="141" t="s">
        <v>173</v>
      </c>
      <c r="Q304" s="81" t="s">
        <v>34</v>
      </c>
    </row>
    <row r="305" spans="2:17" ht="38.25" x14ac:dyDescent="0.2">
      <c r="B305" s="99" t="s">
        <v>126</v>
      </c>
      <c r="C305" s="99" t="s">
        <v>555</v>
      </c>
      <c r="F305" s="99" t="s">
        <v>556</v>
      </c>
      <c r="G305" s="99" t="s">
        <v>195</v>
      </c>
      <c r="H305" s="99">
        <v>1</v>
      </c>
      <c r="I305" s="201">
        <v>1375000</v>
      </c>
      <c r="J305" s="108">
        <v>44754</v>
      </c>
      <c r="K305" s="173">
        <v>6</v>
      </c>
      <c r="N305" s="99" t="s">
        <v>122</v>
      </c>
      <c r="O305" s="99" t="s">
        <v>123</v>
      </c>
      <c r="P305" s="133" t="s">
        <v>124</v>
      </c>
      <c r="Q305" s="161" t="s">
        <v>125</v>
      </c>
    </row>
    <row r="306" spans="2:17" ht="38.25" x14ac:dyDescent="0.2">
      <c r="B306" s="99" t="s">
        <v>410</v>
      </c>
      <c r="C306" s="99" t="s">
        <v>467</v>
      </c>
      <c r="F306" s="99" t="s">
        <v>557</v>
      </c>
      <c r="G306" s="99" t="s">
        <v>213</v>
      </c>
      <c r="H306" s="99">
        <v>1</v>
      </c>
      <c r="I306" s="201">
        <v>495000</v>
      </c>
      <c r="J306" s="108">
        <v>44754</v>
      </c>
      <c r="K306" s="173">
        <v>6</v>
      </c>
      <c r="N306" s="99" t="s">
        <v>122</v>
      </c>
      <c r="O306" s="99" t="s">
        <v>123</v>
      </c>
      <c r="P306" s="133" t="s">
        <v>124</v>
      </c>
      <c r="Q306" s="161" t="s">
        <v>125</v>
      </c>
    </row>
    <row r="307" spans="2:17" ht="38.25" x14ac:dyDescent="0.2">
      <c r="B307" s="99" t="s">
        <v>116</v>
      </c>
      <c r="C307" s="99" t="s">
        <v>467</v>
      </c>
      <c r="F307" s="99" t="s">
        <v>344</v>
      </c>
      <c r="G307" s="99" t="s">
        <v>213</v>
      </c>
      <c r="H307" s="99">
        <v>1</v>
      </c>
      <c r="I307" s="201">
        <v>726000</v>
      </c>
      <c r="J307" s="108">
        <v>44754</v>
      </c>
      <c r="K307" s="173">
        <v>6</v>
      </c>
      <c r="N307" s="99" t="s">
        <v>122</v>
      </c>
      <c r="O307" s="99" t="s">
        <v>123</v>
      </c>
      <c r="P307" s="133" t="s">
        <v>124</v>
      </c>
      <c r="Q307" s="161" t="s">
        <v>125</v>
      </c>
    </row>
    <row r="308" spans="2:17" ht="38.25" x14ac:dyDescent="0.2">
      <c r="B308" s="99" t="s">
        <v>126</v>
      </c>
      <c r="C308" s="99" t="s">
        <v>542</v>
      </c>
      <c r="F308" s="99" t="s">
        <v>558</v>
      </c>
      <c r="G308" s="99" t="s">
        <v>120</v>
      </c>
      <c r="H308" s="99">
        <v>1</v>
      </c>
      <c r="I308" s="201">
        <v>759000</v>
      </c>
      <c r="J308" s="108">
        <v>44754</v>
      </c>
      <c r="K308" s="173">
        <v>6</v>
      </c>
      <c r="N308" s="99" t="s">
        <v>122</v>
      </c>
      <c r="O308" s="99" t="s">
        <v>123</v>
      </c>
      <c r="P308" s="133" t="s">
        <v>124</v>
      </c>
      <c r="Q308" s="161" t="s">
        <v>125</v>
      </c>
    </row>
  </sheetData>
  <autoFilter ref="A1:Q249" xr:uid="{C0DC3CAF-CDE3-4205-AACB-2856A80FBEE0}"/>
  <dataConsolidate/>
  <mergeCells count="6">
    <mergeCell ref="J260:J289"/>
    <mergeCell ref="Q260:Q289"/>
    <mergeCell ref="P260:P289"/>
    <mergeCell ref="O260:O289"/>
    <mergeCell ref="N260:N289"/>
    <mergeCell ref="L260:L289"/>
  </mergeCells>
  <phoneticPr fontId="19" type="noConversion"/>
  <conditionalFormatting sqref="Q20">
    <cfRule type="containsText" dxfId="4" priority="2" operator="containsText" text="Software license/Bản quyền phần mềm">
      <formula>NOT(ISERROR(SEARCH("Software license/Bản quyền phần mềm",Q20)))</formula>
    </cfRule>
  </conditionalFormatting>
  <conditionalFormatting sqref="Q22">
    <cfRule type="containsText" dxfId="3" priority="1" operator="containsText" text="Software license/Bản quyền phần mềm">
      <formula>NOT(ISERROR(SEARCH("Software license/Bản quyền phần mềm",Q22)))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2C9843-6562-4CF9-A303-242D240A03CF}">
          <x14:formula1>
            <xm:f>Catalogue!$A$1:$E$1</xm:f>
          </x14:formula1>
          <xm:sqref>P218 P226:P227 P1:P213 P232 P250:P251 P255:P260 P290:P295 P304 P309:P1048576</xm:sqref>
        </x14:dataValidation>
        <x14:dataValidation type="list" allowBlank="1" showInputMessage="1" showErrorMessage="1" xr:uid="{D7886805-2A3A-4C4A-AA9E-D7FA3B97B831}">
          <x14:formula1>
            <xm:f>NCC!$A$2:$A$40</xm:f>
          </x14:formula1>
          <xm:sqref>O1:O210 O232 O245:O260 O290:O1048576</xm:sqref>
        </x14:dataValidation>
        <x14:dataValidation type="list" allowBlank="1" showInputMessage="1" showErrorMessage="1" xr:uid="{4380AB3A-1124-45F6-B38F-BF4C80C0B2B9}">
          <x14:formula1>
            <xm:f>Dept!$A$1:$A$34</xm:f>
          </x14:formula1>
          <xm:sqref>G1:G213 G221:G223 G227 G241 G232:G233 G215:G218 G239 G243:G261 G290:G303 G305:G1048576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F3EB-9011-49F0-8794-350EE109C20D}">
  <dimension ref="A1:I2"/>
  <sheetViews>
    <sheetView workbookViewId="0">
      <selection activeCell="H7" sqref="H7"/>
    </sheetView>
  </sheetViews>
  <sheetFormatPr defaultRowHeight="15" x14ac:dyDescent="0.25"/>
  <sheetData>
    <row r="1" spans="1:9" x14ac:dyDescent="0.25">
      <c r="A1" t="s">
        <v>159</v>
      </c>
      <c r="B1" t="s">
        <v>478</v>
      </c>
      <c r="C1" t="s">
        <v>214</v>
      </c>
      <c r="D1" t="s">
        <v>135</v>
      </c>
      <c r="E1" t="s">
        <v>121</v>
      </c>
      <c r="F1" t="s">
        <v>166</v>
      </c>
      <c r="G1" t="s">
        <v>154</v>
      </c>
      <c r="H1" t="s">
        <v>398</v>
      </c>
      <c r="I1" t="s">
        <v>365</v>
      </c>
    </row>
    <row r="2" spans="1:9" x14ac:dyDescent="0.25">
      <c r="A2">
        <v>30</v>
      </c>
      <c r="B2">
        <v>60</v>
      </c>
      <c r="C2">
        <v>90</v>
      </c>
      <c r="D2">
        <v>180</v>
      </c>
      <c r="E2">
        <v>365</v>
      </c>
      <c r="F2">
        <v>730</v>
      </c>
      <c r="G2">
        <v>1095</v>
      </c>
      <c r="H2">
        <v>1825</v>
      </c>
      <c r="I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031D-AF22-4F5B-A0F9-5D343367FD12}">
  <dimension ref="A1:E10"/>
  <sheetViews>
    <sheetView workbookViewId="0">
      <selection activeCell="A5" sqref="A5"/>
    </sheetView>
  </sheetViews>
  <sheetFormatPr defaultRowHeight="15" x14ac:dyDescent="0.25"/>
  <cols>
    <col min="1" max="5" width="30.7109375" customWidth="1"/>
  </cols>
  <sheetData>
    <row r="1" spans="1:5" ht="38.25" x14ac:dyDescent="0.25">
      <c r="A1" s="73" t="s">
        <v>22</v>
      </c>
      <c r="B1" s="74" t="s">
        <v>45</v>
      </c>
      <c r="C1" s="74" t="s">
        <v>61</v>
      </c>
      <c r="D1" s="74" t="s">
        <v>75</v>
      </c>
      <c r="E1" s="75" t="s">
        <v>86</v>
      </c>
    </row>
    <row r="2" spans="1:5" ht="45" customHeight="1" x14ac:dyDescent="0.25">
      <c r="A2" s="81" t="s">
        <v>23</v>
      </c>
      <c r="B2" s="80" t="s">
        <v>46</v>
      </c>
      <c r="C2" s="80" t="s">
        <v>62</v>
      </c>
      <c r="D2" s="78" t="s">
        <v>76</v>
      </c>
      <c r="E2" s="79" t="s">
        <v>87</v>
      </c>
    </row>
    <row r="3" spans="1:5" ht="45" customHeight="1" x14ac:dyDescent="0.25">
      <c r="A3" s="76" t="s">
        <v>27</v>
      </c>
      <c r="B3" s="80" t="s">
        <v>48</v>
      </c>
      <c r="C3" s="83" t="s">
        <v>64</v>
      </c>
      <c r="D3" s="78" t="s">
        <v>79</v>
      </c>
      <c r="E3" s="79" t="s">
        <v>89</v>
      </c>
    </row>
    <row r="4" spans="1:5" ht="45" customHeight="1" x14ac:dyDescent="0.25">
      <c r="A4" s="81" t="s">
        <v>30</v>
      </c>
      <c r="B4" s="80" t="s">
        <v>50</v>
      </c>
      <c r="C4" s="83" t="s">
        <v>65</v>
      </c>
      <c r="D4" s="78" t="s">
        <v>82</v>
      </c>
      <c r="E4" s="82" t="s">
        <v>90</v>
      </c>
    </row>
    <row r="5" spans="1:5" ht="45" customHeight="1" x14ac:dyDescent="0.25">
      <c r="A5" s="81" t="s">
        <v>34</v>
      </c>
      <c r="B5" s="83" t="s">
        <v>53</v>
      </c>
      <c r="C5" s="83" t="s">
        <v>67</v>
      </c>
      <c r="D5" s="78" t="s">
        <v>84</v>
      </c>
      <c r="E5" s="84" t="s">
        <v>91</v>
      </c>
    </row>
    <row r="6" spans="1:5" ht="45" customHeight="1" x14ac:dyDescent="0.25">
      <c r="A6" s="81" t="s">
        <v>35</v>
      </c>
      <c r="B6" s="77" t="s">
        <v>55</v>
      </c>
      <c r="C6" s="83" t="s">
        <v>68</v>
      </c>
      <c r="D6" s="85"/>
      <c r="E6" s="84" t="s">
        <v>95</v>
      </c>
    </row>
    <row r="7" spans="1:5" ht="45" customHeight="1" x14ac:dyDescent="0.25">
      <c r="A7" s="81" t="s">
        <v>38</v>
      </c>
      <c r="B7" s="78" t="s">
        <v>58</v>
      </c>
      <c r="C7" s="83" t="s">
        <v>70</v>
      </c>
      <c r="D7" s="85"/>
      <c r="E7" s="84" t="s">
        <v>97</v>
      </c>
    </row>
    <row r="8" spans="1:5" ht="60" customHeight="1" x14ac:dyDescent="0.25">
      <c r="A8" s="81" t="s">
        <v>41</v>
      </c>
      <c r="B8" s="85"/>
      <c r="C8" s="83" t="s">
        <v>72</v>
      </c>
      <c r="D8" s="85"/>
      <c r="E8" s="87"/>
    </row>
    <row r="9" spans="1:5" ht="45" customHeight="1" x14ac:dyDescent="0.25">
      <c r="A9" s="81" t="s">
        <v>43</v>
      </c>
      <c r="B9" s="85"/>
      <c r="C9" s="80" t="s">
        <v>74</v>
      </c>
      <c r="D9" s="85"/>
      <c r="E9" s="87"/>
    </row>
    <row r="10" spans="1:5" ht="45" customHeight="1" x14ac:dyDescent="0.25">
      <c r="A10" s="88"/>
      <c r="B10" s="85"/>
      <c r="C10" s="80"/>
      <c r="D10" s="85"/>
      <c r="E10" s="87"/>
    </row>
  </sheetData>
  <conditionalFormatting sqref="A9">
    <cfRule type="containsText" dxfId="2" priority="7" operator="containsText" text="Software license/Bản quyền phần mềm">
      <formula>NOT(ISERROR(SEARCH("Software license/Bản quyền phần mềm",A9)))</formula>
    </cfRule>
  </conditionalFormatting>
  <conditionalFormatting sqref="C10">
    <cfRule type="containsText" dxfId="1" priority="3" operator="containsText" text="Software license/Bản quyền phần mềm">
      <formula>NOT(ISERROR(SEARCH("Software license/Bản quyền phần mềm",C10)))</formula>
    </cfRule>
  </conditionalFormatting>
  <conditionalFormatting sqref="C9">
    <cfRule type="containsText" dxfId="0" priority="1" operator="containsText" text="Software license/Bản quyền phần mềm">
      <formula>NOT(ISERROR(SEARCH("Software license/Bản quyền phần mềm",C9)))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14BF-FF46-42DB-9CE5-32DF6E0A8281}">
  <dimension ref="A1:G28"/>
  <sheetViews>
    <sheetView topLeftCell="A19" workbookViewId="0">
      <selection activeCell="D35" sqref="D35"/>
    </sheetView>
  </sheetViews>
  <sheetFormatPr defaultRowHeight="15" x14ac:dyDescent="0.25"/>
  <sheetData>
    <row r="1" spans="1:7" x14ac:dyDescent="0.25">
      <c r="A1" s="111" t="s">
        <v>234</v>
      </c>
      <c r="E1" s="102" t="s">
        <v>116</v>
      </c>
      <c r="G1" s="119" t="s">
        <v>268</v>
      </c>
    </row>
    <row r="2" spans="1:7" x14ac:dyDescent="0.25">
      <c r="A2" s="111" t="s">
        <v>120</v>
      </c>
    </row>
    <row r="3" spans="1:7" x14ac:dyDescent="0.25">
      <c r="A3" s="111" t="s">
        <v>226</v>
      </c>
    </row>
    <row r="4" spans="1:7" x14ac:dyDescent="0.25">
      <c r="A4" s="111" t="s">
        <v>219</v>
      </c>
    </row>
    <row r="5" spans="1:7" x14ac:dyDescent="0.25">
      <c r="A5" s="111" t="s">
        <v>137</v>
      </c>
    </row>
    <row r="6" spans="1:7" x14ac:dyDescent="0.25">
      <c r="A6" s="111" t="s">
        <v>142</v>
      </c>
    </row>
    <row r="7" spans="1:7" x14ac:dyDescent="0.25">
      <c r="A7" s="111" t="s">
        <v>213</v>
      </c>
    </row>
    <row r="8" spans="1:7" x14ac:dyDescent="0.25">
      <c r="A8" s="111" t="s">
        <v>128</v>
      </c>
    </row>
    <row r="9" spans="1:7" x14ac:dyDescent="0.25">
      <c r="A9" s="111" t="s">
        <v>191</v>
      </c>
    </row>
    <row r="10" spans="1:7" x14ac:dyDescent="0.25">
      <c r="A10" s="111" t="s">
        <v>153</v>
      </c>
    </row>
    <row r="11" spans="1:7" x14ac:dyDescent="0.25">
      <c r="A11" s="111" t="s">
        <v>149</v>
      </c>
    </row>
    <row r="12" spans="1:7" x14ac:dyDescent="0.25">
      <c r="A12" s="111" t="s">
        <v>140</v>
      </c>
    </row>
    <row r="13" spans="1:7" x14ac:dyDescent="0.25">
      <c r="A13" s="111" t="s">
        <v>146</v>
      </c>
    </row>
    <row r="14" spans="1:7" x14ac:dyDescent="0.25">
      <c r="A14" s="111" t="s">
        <v>134</v>
      </c>
    </row>
    <row r="15" spans="1:7" x14ac:dyDescent="0.25">
      <c r="A15" s="111" t="s">
        <v>240</v>
      </c>
    </row>
    <row r="16" spans="1:7" x14ac:dyDescent="0.25">
      <c r="A16" s="111" t="s">
        <v>195</v>
      </c>
    </row>
    <row r="17" spans="1:1" x14ac:dyDescent="0.25">
      <c r="A17" s="111" t="s">
        <v>228</v>
      </c>
    </row>
    <row r="18" spans="1:1" x14ac:dyDescent="0.25">
      <c r="A18" s="111" t="s">
        <v>479</v>
      </c>
    </row>
    <row r="19" spans="1:1" x14ac:dyDescent="0.25">
      <c r="A19" s="111" t="s">
        <v>39</v>
      </c>
    </row>
    <row r="20" spans="1:1" x14ac:dyDescent="0.25">
      <c r="A20" s="111" t="s">
        <v>177</v>
      </c>
    </row>
    <row r="21" spans="1:1" x14ac:dyDescent="0.25">
      <c r="A21" s="111" t="s">
        <v>209</v>
      </c>
    </row>
    <row r="22" spans="1:1" x14ac:dyDescent="0.25">
      <c r="A22" s="111" t="s">
        <v>314</v>
      </c>
    </row>
    <row r="23" spans="1:1" x14ac:dyDescent="0.25">
      <c r="A23" s="111" t="s">
        <v>158</v>
      </c>
    </row>
    <row r="24" spans="1:1" x14ac:dyDescent="0.25">
      <c r="A24" s="111" t="s">
        <v>199</v>
      </c>
    </row>
    <row r="25" spans="1:1" x14ac:dyDescent="0.25">
      <c r="A25" s="111" t="s">
        <v>332</v>
      </c>
    </row>
    <row r="26" spans="1:1" x14ac:dyDescent="0.25">
      <c r="A26" s="111" t="s">
        <v>272</v>
      </c>
    </row>
    <row r="27" spans="1:1" x14ac:dyDescent="0.25">
      <c r="A27" s="111" t="s">
        <v>28</v>
      </c>
    </row>
    <row r="28" spans="1:1" x14ac:dyDescent="0.25">
      <c r="A28" s="111" t="s">
        <v>552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6D03-CC00-42A4-BEA9-A1F5D6315143}">
  <dimension ref="A1:A32"/>
  <sheetViews>
    <sheetView topLeftCell="A10" workbookViewId="0">
      <selection activeCell="A33" sqref="A33"/>
    </sheetView>
  </sheetViews>
  <sheetFormatPr defaultRowHeight="15" x14ac:dyDescent="0.25"/>
  <cols>
    <col min="1" max="1" width="28.140625" customWidth="1"/>
  </cols>
  <sheetData>
    <row r="1" spans="1:1" x14ac:dyDescent="0.25">
      <c r="A1" s="111" t="s">
        <v>480</v>
      </c>
    </row>
    <row r="2" spans="1:1" x14ac:dyDescent="0.25">
      <c r="A2" s="111" t="s">
        <v>123</v>
      </c>
    </row>
    <row r="3" spans="1:1" x14ac:dyDescent="0.25">
      <c r="A3" s="111" t="s">
        <v>481</v>
      </c>
    </row>
    <row r="4" spans="1:1" x14ac:dyDescent="0.25">
      <c r="A4" s="111" t="s">
        <v>482</v>
      </c>
    </row>
    <row r="5" spans="1:1" x14ac:dyDescent="0.25">
      <c r="A5" s="111" t="s">
        <v>483</v>
      </c>
    </row>
    <row r="6" spans="1:1" x14ac:dyDescent="0.25">
      <c r="A6" s="111" t="s">
        <v>484</v>
      </c>
    </row>
    <row r="7" spans="1:1" x14ac:dyDescent="0.25">
      <c r="A7" s="111" t="s">
        <v>485</v>
      </c>
    </row>
    <row r="8" spans="1:1" x14ac:dyDescent="0.25">
      <c r="A8" s="111" t="s">
        <v>167</v>
      </c>
    </row>
    <row r="9" spans="1:1" x14ac:dyDescent="0.25">
      <c r="A9" s="111" t="s">
        <v>210</v>
      </c>
    </row>
    <row r="10" spans="1:1" x14ac:dyDescent="0.25">
      <c r="A10" s="111" t="s">
        <v>486</v>
      </c>
    </row>
    <row r="11" spans="1:1" x14ac:dyDescent="0.25">
      <c r="A11" s="111" t="s">
        <v>161</v>
      </c>
    </row>
    <row r="12" spans="1:1" x14ac:dyDescent="0.25">
      <c r="A12" s="111" t="s">
        <v>333</v>
      </c>
    </row>
    <row r="13" spans="1:1" x14ac:dyDescent="0.25">
      <c r="A13" s="111" t="s">
        <v>172</v>
      </c>
    </row>
    <row r="14" spans="1:1" x14ac:dyDescent="0.25">
      <c r="A14" s="111" t="s">
        <v>487</v>
      </c>
    </row>
    <row r="15" spans="1:1" x14ac:dyDescent="0.25">
      <c r="A15" s="111" t="s">
        <v>488</v>
      </c>
    </row>
    <row r="16" spans="1:1" x14ac:dyDescent="0.25">
      <c r="A16" s="111" t="s">
        <v>489</v>
      </c>
    </row>
    <row r="17" spans="1:1" x14ac:dyDescent="0.25">
      <c r="A17" s="111" t="s">
        <v>304</v>
      </c>
    </row>
    <row r="18" spans="1:1" x14ac:dyDescent="0.25">
      <c r="A18" s="111" t="s">
        <v>183</v>
      </c>
    </row>
    <row r="19" spans="1:1" x14ac:dyDescent="0.25">
      <c r="A19" s="111" t="s">
        <v>170</v>
      </c>
    </row>
    <row r="20" spans="1:1" x14ac:dyDescent="0.25">
      <c r="A20" s="111" t="s">
        <v>338</v>
      </c>
    </row>
    <row r="21" spans="1:1" x14ac:dyDescent="0.25">
      <c r="A21" s="111" t="s">
        <v>490</v>
      </c>
    </row>
    <row r="22" spans="1:1" x14ac:dyDescent="0.25">
      <c r="A22" s="111" t="s">
        <v>491</v>
      </c>
    </row>
    <row r="23" spans="1:1" x14ac:dyDescent="0.25">
      <c r="A23" s="111" t="s">
        <v>180</v>
      </c>
    </row>
    <row r="24" spans="1:1" x14ac:dyDescent="0.25">
      <c r="A24" s="111" t="s">
        <v>364</v>
      </c>
    </row>
    <row r="25" spans="1:1" x14ac:dyDescent="0.25">
      <c r="A25" s="111" t="s">
        <v>492</v>
      </c>
    </row>
    <row r="26" spans="1:1" x14ac:dyDescent="0.25">
      <c r="A26" s="111" t="s">
        <v>493</v>
      </c>
    </row>
    <row r="27" spans="1:1" x14ac:dyDescent="0.25">
      <c r="A27" s="111" t="s">
        <v>486</v>
      </c>
    </row>
    <row r="28" spans="1:1" x14ac:dyDescent="0.25">
      <c r="A28" s="111" t="s">
        <v>302</v>
      </c>
    </row>
    <row r="29" spans="1:1" x14ac:dyDescent="0.25">
      <c r="A29" s="111" t="s">
        <v>361</v>
      </c>
    </row>
    <row r="30" spans="1:1" x14ac:dyDescent="0.25">
      <c r="A30" s="111" t="s">
        <v>391</v>
      </c>
    </row>
    <row r="31" spans="1:1" x14ac:dyDescent="0.25">
      <c r="A31" s="111" t="s">
        <v>396</v>
      </c>
    </row>
    <row r="32" spans="1:1" x14ac:dyDescent="0.25">
      <c r="A3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4850-C309-4749-97EB-1127C06CBD5F}">
  <dimension ref="B1:L42"/>
  <sheetViews>
    <sheetView showGridLines="0" zoomScaleNormal="100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defaultRowHeight="15" x14ac:dyDescent="0.25"/>
  <cols>
    <col min="2" max="2" width="44.85546875" customWidth="1"/>
    <col min="3" max="3" width="17.28515625" customWidth="1"/>
    <col min="4" max="5" width="15.28515625" customWidth="1"/>
    <col min="6" max="6" width="12.7109375" customWidth="1"/>
    <col min="7" max="7" width="15.28515625" customWidth="1"/>
    <col min="8" max="8" width="14" customWidth="1"/>
    <col min="9" max="9" width="19.5703125" customWidth="1"/>
    <col min="10" max="10" width="29.28515625" customWidth="1"/>
    <col min="11" max="11" width="30.28515625" customWidth="1"/>
  </cols>
  <sheetData>
    <row r="1" spans="2:11" x14ac:dyDescent="0.25">
      <c r="B1" s="174" t="s">
        <v>0</v>
      </c>
      <c r="C1" s="175"/>
      <c r="D1" s="175"/>
      <c r="E1" s="175"/>
      <c r="F1" s="175"/>
      <c r="G1" s="175"/>
      <c r="H1" s="175"/>
      <c r="I1" s="175"/>
      <c r="J1" s="175"/>
      <c r="K1" s="175"/>
    </row>
    <row r="2" spans="2:11" s="2" customFormat="1" ht="14.65" customHeight="1" x14ac:dyDescent="0.2">
      <c r="B2" s="1"/>
      <c r="C2" s="196" t="s">
        <v>494</v>
      </c>
      <c r="D2" s="197"/>
      <c r="E2" s="198"/>
      <c r="F2" s="179" t="s">
        <v>2</v>
      </c>
      <c r="G2" s="180"/>
      <c r="H2" s="180"/>
      <c r="I2" s="180"/>
      <c r="J2" s="180"/>
      <c r="K2" s="181"/>
    </row>
    <row r="3" spans="2:11" s="2" customFormat="1" ht="14.65" customHeight="1" x14ac:dyDescent="0.2">
      <c r="B3" s="3"/>
      <c r="C3" s="4" t="s">
        <v>3</v>
      </c>
      <c r="D3" s="4" t="s">
        <v>4</v>
      </c>
      <c r="E3" s="199" t="s">
        <v>5</v>
      </c>
      <c r="F3" s="184" t="s">
        <v>6</v>
      </c>
      <c r="G3" s="185"/>
      <c r="H3" s="185"/>
      <c r="I3" s="185"/>
      <c r="J3" s="185"/>
      <c r="K3" s="186"/>
    </row>
    <row r="4" spans="2:11" s="2" customFormat="1" ht="12.75" x14ac:dyDescent="0.2">
      <c r="B4" s="3"/>
      <c r="C4" s="5"/>
      <c r="D4" s="5" t="s">
        <v>495</v>
      </c>
      <c r="E4" s="200"/>
      <c r="F4" s="6" t="s">
        <v>7</v>
      </c>
      <c r="G4" s="6" t="s">
        <v>8</v>
      </c>
      <c r="H4" s="6" t="s">
        <v>9</v>
      </c>
      <c r="I4" s="6" t="s">
        <v>11</v>
      </c>
      <c r="J4" s="6" t="s">
        <v>12</v>
      </c>
      <c r="K4" s="6" t="s">
        <v>496</v>
      </c>
    </row>
    <row r="5" spans="2:11" s="2" customFormat="1" ht="26.65" customHeight="1" x14ac:dyDescent="0.2">
      <c r="B5" s="7" t="s">
        <v>14</v>
      </c>
      <c r="C5" s="10"/>
      <c r="D5" s="10"/>
      <c r="E5" s="9">
        <v>0</v>
      </c>
      <c r="F5" s="9">
        <v>0</v>
      </c>
      <c r="G5" s="10"/>
      <c r="H5" s="10"/>
      <c r="I5" s="10"/>
      <c r="J5" s="10"/>
      <c r="K5" s="10"/>
    </row>
    <row r="6" spans="2:11" s="2" customFormat="1" ht="7.9" customHeight="1" x14ac:dyDescent="0.2">
      <c r="B6" s="20"/>
      <c r="C6" s="3"/>
      <c r="D6" s="3"/>
      <c r="E6" s="3"/>
      <c r="F6" s="3"/>
      <c r="G6" s="3"/>
      <c r="H6" s="3"/>
      <c r="I6" s="21"/>
      <c r="J6" s="21"/>
    </row>
    <row r="7" spans="2:11" s="2" customFormat="1" ht="12.75" x14ac:dyDescent="0.2">
      <c r="B7" s="7" t="s">
        <v>22</v>
      </c>
      <c r="C7" s="8">
        <f>SUBTOTAL(9,C8:C15)</f>
        <v>419640000</v>
      </c>
      <c r="D7" s="8">
        <f>SUBTOTAL(9,D8:D15)</f>
        <v>1781880564</v>
      </c>
      <c r="E7" s="8">
        <f>SUBTOTAL(9,E8:E15)</f>
        <v>0</v>
      </c>
      <c r="F7" s="8"/>
      <c r="G7" s="8"/>
      <c r="H7" s="8">
        <f>SUBTOTAL(9,H8:H15)</f>
        <v>1543542000</v>
      </c>
      <c r="I7" s="10"/>
      <c r="J7" s="10"/>
      <c r="K7" s="10"/>
    </row>
    <row r="8" spans="2:11" s="2" customFormat="1" ht="40.9" customHeight="1" x14ac:dyDescent="0.2">
      <c r="B8" s="26" t="s">
        <v>497</v>
      </c>
      <c r="C8" s="12"/>
      <c r="D8" s="12">
        <v>1341183666</v>
      </c>
      <c r="E8" s="12"/>
      <c r="F8" s="12">
        <v>105</v>
      </c>
      <c r="G8" s="12"/>
      <c r="H8" s="12">
        <v>959112000</v>
      </c>
      <c r="I8" s="3" t="s">
        <v>24</v>
      </c>
      <c r="J8" s="23" t="s">
        <v>25</v>
      </c>
      <c r="K8" s="3"/>
    </row>
    <row r="9" spans="2:11" s="2" customFormat="1" ht="29.45" customHeight="1" x14ac:dyDescent="0.2">
      <c r="B9" s="26" t="s">
        <v>498</v>
      </c>
      <c r="C9" s="12">
        <v>126898000</v>
      </c>
      <c r="D9" s="12">
        <f>131944599</f>
        <v>131944599</v>
      </c>
      <c r="E9" s="12"/>
      <c r="F9" s="12"/>
      <c r="G9" s="12"/>
      <c r="H9" s="12">
        <v>129000000</v>
      </c>
      <c r="I9" s="3" t="s">
        <v>28</v>
      </c>
      <c r="J9" s="24" t="s">
        <v>29</v>
      </c>
      <c r="K9" s="3"/>
    </row>
    <row r="10" spans="2:11" s="2" customFormat="1" ht="40.9" customHeight="1" x14ac:dyDescent="0.2">
      <c r="B10" s="27" t="s">
        <v>499</v>
      </c>
      <c r="C10" s="12"/>
      <c r="D10" s="12"/>
      <c r="E10" s="12"/>
      <c r="F10" s="12">
        <v>90</v>
      </c>
      <c r="G10" s="12">
        <v>4000000</v>
      </c>
      <c r="H10" s="12">
        <v>360000000</v>
      </c>
      <c r="I10" s="3" t="s">
        <v>31</v>
      </c>
      <c r="J10" s="24" t="s">
        <v>32</v>
      </c>
      <c r="K10" s="3"/>
    </row>
    <row r="11" spans="2:11" s="2" customFormat="1" ht="40.9" customHeight="1" x14ac:dyDescent="0.2">
      <c r="B11" s="27" t="s">
        <v>500</v>
      </c>
      <c r="C11" s="12">
        <f>246432000+17880000</f>
        <v>264312000</v>
      </c>
      <c r="D11" s="12">
        <f>264796700+11845599</f>
        <v>276642299</v>
      </c>
      <c r="E11" s="12"/>
      <c r="F11" s="12"/>
      <c r="G11" s="12"/>
      <c r="H11" s="12"/>
      <c r="I11" s="3" t="s">
        <v>31</v>
      </c>
      <c r="J11" s="3"/>
      <c r="K11" s="3"/>
    </row>
    <row r="12" spans="2:11" s="2" customFormat="1" ht="21.6" customHeight="1" x14ac:dyDescent="0.2">
      <c r="B12" s="27" t="s">
        <v>501</v>
      </c>
      <c r="C12" s="12"/>
      <c r="D12" s="12">
        <v>0</v>
      </c>
      <c r="E12" s="12"/>
      <c r="F12" s="12" t="s">
        <v>36</v>
      </c>
      <c r="G12" s="12">
        <v>1800000</v>
      </c>
      <c r="H12" s="12">
        <v>27000000</v>
      </c>
      <c r="I12" s="3" t="s">
        <v>31</v>
      </c>
      <c r="J12" s="3" t="s">
        <v>37</v>
      </c>
      <c r="K12" s="3"/>
    </row>
    <row r="13" spans="2:11" s="2" customFormat="1" ht="21" customHeight="1" x14ac:dyDescent="0.2">
      <c r="B13" s="27" t="s">
        <v>502</v>
      </c>
      <c r="C13" s="12">
        <v>28430000</v>
      </c>
      <c r="D13" s="12">
        <v>28430000</v>
      </c>
      <c r="E13" s="12"/>
      <c r="F13" s="12">
        <v>1</v>
      </c>
      <c r="G13" s="12">
        <v>22450000</v>
      </c>
      <c r="H13" s="12">
        <v>22450000</v>
      </c>
      <c r="I13" s="3" t="s">
        <v>39</v>
      </c>
      <c r="J13" s="3" t="s">
        <v>40</v>
      </c>
      <c r="K13" s="3"/>
    </row>
    <row r="14" spans="2:11" s="2" customFormat="1" ht="25.5" x14ac:dyDescent="0.2">
      <c r="B14" s="27" t="s">
        <v>503</v>
      </c>
      <c r="C14" s="12"/>
      <c r="D14" s="12">
        <v>3680000</v>
      </c>
      <c r="E14" s="12"/>
      <c r="F14" s="12"/>
      <c r="G14" s="12"/>
      <c r="H14" s="12">
        <v>40000000</v>
      </c>
      <c r="I14" s="3" t="s">
        <v>28</v>
      </c>
      <c r="J14" s="3" t="s">
        <v>42</v>
      </c>
      <c r="K14" s="3"/>
    </row>
    <row r="15" spans="2:11" s="2" customFormat="1" ht="23.45" customHeight="1" x14ac:dyDescent="0.2">
      <c r="B15" s="27" t="s">
        <v>504</v>
      </c>
      <c r="C15" s="12"/>
      <c r="D15" s="12"/>
      <c r="E15" s="12"/>
      <c r="F15" s="12">
        <v>2</v>
      </c>
      <c r="G15" s="12">
        <v>2990000</v>
      </c>
      <c r="H15" s="12">
        <f>F15*G15</f>
        <v>5980000</v>
      </c>
      <c r="I15" s="3"/>
      <c r="J15" s="3"/>
      <c r="K15" s="3"/>
    </row>
    <row r="16" spans="2:11" s="14" customFormat="1" ht="12.75" x14ac:dyDescent="0.2">
      <c r="B16" s="7" t="s">
        <v>45</v>
      </c>
      <c r="C16" s="8">
        <f t="shared" ref="C16:H16" si="0">SUBTOTAL(9,C17:C22)</f>
        <v>1656641250</v>
      </c>
      <c r="D16" s="8">
        <f t="shared" si="0"/>
        <v>824231946</v>
      </c>
      <c r="E16" s="8">
        <f t="shared" si="0"/>
        <v>0</v>
      </c>
      <c r="F16" s="8">
        <f t="shared" si="0"/>
        <v>123</v>
      </c>
      <c r="G16" s="8">
        <f t="shared" si="0"/>
        <v>80500000</v>
      </c>
      <c r="H16" s="8">
        <f t="shared" si="0"/>
        <v>1716500000</v>
      </c>
      <c r="I16" s="13"/>
      <c r="J16" s="13"/>
      <c r="K16" s="13"/>
    </row>
    <row r="17" spans="2:11" s="2" customFormat="1" ht="25.15" customHeight="1" x14ac:dyDescent="0.2">
      <c r="B17" s="26" t="s">
        <v>505</v>
      </c>
      <c r="C17" s="12">
        <f>1150000000+205965500+94345000</f>
        <v>1450310500</v>
      </c>
      <c r="D17" s="12">
        <v>697595400</v>
      </c>
      <c r="E17" s="12"/>
      <c r="F17" s="12">
        <v>51</v>
      </c>
      <c r="G17" s="12">
        <v>24000000</v>
      </c>
      <c r="H17" s="12">
        <f>F17*G17</f>
        <v>1224000000</v>
      </c>
      <c r="I17" s="3" t="s">
        <v>28</v>
      </c>
      <c r="J17" s="3"/>
      <c r="K17" s="3"/>
    </row>
    <row r="18" spans="2:11" s="2" customFormat="1" ht="20.45" customHeight="1" x14ac:dyDescent="0.2">
      <c r="B18" s="26" t="s">
        <v>506</v>
      </c>
      <c r="C18" s="12">
        <f>58000000+16110250</f>
        <v>74110250</v>
      </c>
      <c r="D18" s="12">
        <v>40550000</v>
      </c>
      <c r="E18" s="12"/>
      <c r="F18" s="12">
        <v>9</v>
      </c>
      <c r="G18" s="12">
        <v>8500000</v>
      </c>
      <c r="H18" s="12">
        <f t="shared" ref="H18:H19" si="1">F18*G18</f>
        <v>76500000</v>
      </c>
      <c r="I18" s="3" t="s">
        <v>28</v>
      </c>
      <c r="J18" s="3" t="s">
        <v>49</v>
      </c>
      <c r="K18" s="3"/>
    </row>
    <row r="19" spans="2:11" s="2" customFormat="1" ht="24.6" customHeight="1" x14ac:dyDescent="0.2">
      <c r="B19" s="26" t="s">
        <v>507</v>
      </c>
      <c r="C19" s="12">
        <v>16110250</v>
      </c>
      <c r="D19" s="12">
        <v>6545000</v>
      </c>
      <c r="E19" s="12"/>
      <c r="F19" s="12">
        <v>2</v>
      </c>
      <c r="G19" s="12">
        <v>8000000</v>
      </c>
      <c r="H19" s="12">
        <f t="shared" si="1"/>
        <v>16000000</v>
      </c>
      <c r="I19" s="3" t="s">
        <v>51</v>
      </c>
      <c r="J19" s="3" t="s">
        <v>52</v>
      </c>
      <c r="K19" s="3"/>
    </row>
    <row r="20" spans="2:11" s="2" customFormat="1" ht="32.450000000000003" customHeight="1" x14ac:dyDescent="0.2">
      <c r="B20" s="11" t="s">
        <v>508</v>
      </c>
      <c r="C20" s="12">
        <f>40000000+16110250</f>
        <v>56110250</v>
      </c>
      <c r="D20" s="12">
        <v>7145455</v>
      </c>
      <c r="E20" s="12"/>
      <c r="F20" s="12">
        <v>1</v>
      </c>
      <c r="G20" s="12">
        <v>40000000</v>
      </c>
      <c r="H20" s="12">
        <v>40000000</v>
      </c>
      <c r="I20" s="3" t="s">
        <v>28</v>
      </c>
      <c r="J20" s="24" t="s">
        <v>54</v>
      </c>
      <c r="K20" s="3"/>
    </row>
    <row r="21" spans="2:11" s="2" customFormat="1" ht="32.450000000000003" customHeight="1" x14ac:dyDescent="0.2">
      <c r="B21" s="26" t="s">
        <v>509</v>
      </c>
      <c r="C21" s="12"/>
      <c r="D21" s="12"/>
      <c r="E21" s="12"/>
      <c r="F21" s="12">
        <v>60</v>
      </c>
      <c r="G21" s="12"/>
      <c r="H21" s="12">
        <v>240000000</v>
      </c>
      <c r="I21" s="3" t="s">
        <v>28</v>
      </c>
      <c r="J21" s="24" t="s">
        <v>56</v>
      </c>
      <c r="K21" s="3"/>
    </row>
    <row r="22" spans="2:11" s="2" customFormat="1" ht="40.9" customHeight="1" x14ac:dyDescent="0.2">
      <c r="B22" s="27" t="s">
        <v>510</v>
      </c>
      <c r="C22" s="12">
        <v>60000000</v>
      </c>
      <c r="D22" s="12">
        <v>72396091</v>
      </c>
      <c r="E22" s="12"/>
      <c r="F22" s="12"/>
      <c r="G22" s="12"/>
      <c r="H22" s="12">
        <v>120000000</v>
      </c>
      <c r="I22" s="3"/>
      <c r="J22" s="25" t="s">
        <v>59</v>
      </c>
      <c r="K22" s="28" t="e">
        <f>#REF!</f>
        <v>#REF!</v>
      </c>
    </row>
    <row r="23" spans="2:11" s="14" customFormat="1" ht="38.25" x14ac:dyDescent="0.2">
      <c r="B23" s="7" t="s">
        <v>511</v>
      </c>
      <c r="C23" s="8">
        <f t="shared" ref="C23:H23" si="2">SUBTOTAL(9,C24:C30)</f>
        <v>126854246</v>
      </c>
      <c r="D23" s="8">
        <f t="shared" si="2"/>
        <v>114884675</v>
      </c>
      <c r="E23" s="8">
        <f t="shared" si="2"/>
        <v>0</v>
      </c>
      <c r="F23" s="8">
        <f t="shared" si="2"/>
        <v>0</v>
      </c>
      <c r="G23" s="8">
        <f t="shared" si="2"/>
        <v>0</v>
      </c>
      <c r="H23" s="8">
        <f t="shared" si="2"/>
        <v>199242000</v>
      </c>
      <c r="I23" s="13"/>
      <c r="J23" s="13"/>
      <c r="K23" s="13"/>
    </row>
    <row r="24" spans="2:11" s="2" customFormat="1" ht="42" customHeight="1" x14ac:dyDescent="0.2">
      <c r="B24" s="27" t="s">
        <v>512</v>
      </c>
      <c r="C24" s="12">
        <f>78600000+3960000</f>
        <v>82560000</v>
      </c>
      <c r="D24" s="12">
        <v>61310155</v>
      </c>
      <c r="E24" s="12"/>
      <c r="F24" s="12"/>
      <c r="G24" s="12"/>
      <c r="H24" s="12">
        <v>25000000</v>
      </c>
      <c r="I24" s="3"/>
      <c r="J24" s="24" t="s">
        <v>63</v>
      </c>
      <c r="K24" s="3"/>
    </row>
    <row r="25" spans="2:11" s="2" customFormat="1" ht="22.15" customHeight="1" x14ac:dyDescent="0.2">
      <c r="B25" s="27" t="s">
        <v>513</v>
      </c>
      <c r="C25" s="12"/>
      <c r="D25" s="12"/>
      <c r="E25" s="12"/>
      <c r="F25" s="12"/>
      <c r="G25" s="12"/>
      <c r="H25" s="12">
        <v>78242000</v>
      </c>
      <c r="I25" s="3" t="s">
        <v>28</v>
      </c>
      <c r="J25" s="3"/>
      <c r="K25" s="3"/>
    </row>
    <row r="26" spans="2:11" s="2" customFormat="1" ht="28.15" customHeight="1" x14ac:dyDescent="0.2">
      <c r="B26" s="27" t="s">
        <v>514</v>
      </c>
      <c r="C26" s="12">
        <v>12411246</v>
      </c>
      <c r="D26" s="12">
        <f>11193996+1176290</f>
        <v>12370286</v>
      </c>
      <c r="E26" s="12"/>
      <c r="F26" s="12"/>
      <c r="G26" s="12"/>
      <c r="H26" s="12">
        <v>14000000</v>
      </c>
      <c r="I26" s="3" t="s">
        <v>66</v>
      </c>
      <c r="J26" s="3"/>
      <c r="K26" s="3"/>
    </row>
    <row r="27" spans="2:11" s="2" customFormat="1" ht="19.149999999999999" customHeight="1" x14ac:dyDescent="0.2">
      <c r="B27" s="11" t="s">
        <v>515</v>
      </c>
      <c r="C27" s="12">
        <v>9480000</v>
      </c>
      <c r="D27" s="12">
        <v>6141528</v>
      </c>
      <c r="E27" s="12"/>
      <c r="F27" s="12"/>
      <c r="G27" s="12"/>
      <c r="H27" s="12">
        <v>12000000</v>
      </c>
      <c r="I27" s="3" t="s">
        <v>28</v>
      </c>
      <c r="J27" s="3"/>
      <c r="K27" s="3"/>
    </row>
    <row r="28" spans="2:11" s="2" customFormat="1" ht="28.15" customHeight="1" x14ac:dyDescent="0.2">
      <c r="B28" s="11" t="s">
        <v>516</v>
      </c>
      <c r="C28" s="12"/>
      <c r="D28" s="12"/>
      <c r="E28" s="12"/>
      <c r="F28" s="12"/>
      <c r="G28" s="12"/>
      <c r="H28" s="12">
        <v>10000000</v>
      </c>
      <c r="I28" s="3" t="s">
        <v>28</v>
      </c>
      <c r="J28" s="24" t="s">
        <v>69</v>
      </c>
      <c r="K28" s="3"/>
    </row>
    <row r="29" spans="2:11" s="2" customFormat="1" ht="28.9" customHeight="1" x14ac:dyDescent="0.2">
      <c r="B29" s="11" t="s">
        <v>517</v>
      </c>
      <c r="C29" s="12">
        <v>0</v>
      </c>
      <c r="D29" s="12"/>
      <c r="E29" s="12"/>
      <c r="F29" s="12"/>
      <c r="G29" s="12"/>
      <c r="H29" s="12">
        <v>20000000</v>
      </c>
      <c r="I29" s="3" t="s">
        <v>28</v>
      </c>
      <c r="J29" s="24" t="s">
        <v>71</v>
      </c>
      <c r="K29" s="3"/>
    </row>
    <row r="30" spans="2:11" s="2" customFormat="1" ht="40.9" customHeight="1" x14ac:dyDescent="0.2">
      <c r="B30" s="27" t="s">
        <v>518</v>
      </c>
      <c r="C30" s="12">
        <f>18058000+4345000</f>
        <v>22403000</v>
      </c>
      <c r="D30" s="12">
        <v>35062706</v>
      </c>
      <c r="E30" s="12"/>
      <c r="F30" s="12"/>
      <c r="G30" s="12"/>
      <c r="H30" s="12">
        <v>40000000</v>
      </c>
      <c r="I30" s="3" t="s">
        <v>28</v>
      </c>
      <c r="J30" s="3" t="s">
        <v>73</v>
      </c>
      <c r="K30" s="3"/>
    </row>
    <row r="31" spans="2:11" s="14" customFormat="1" ht="25.5" x14ac:dyDescent="0.2">
      <c r="B31" s="7" t="s">
        <v>75</v>
      </c>
      <c r="C31" s="8">
        <f t="shared" ref="C31:H31" si="3">SUBTOTAL(9,C32:C41)</f>
        <v>450000000</v>
      </c>
      <c r="D31" s="8">
        <f t="shared" si="3"/>
        <v>375998740</v>
      </c>
      <c r="E31" s="8">
        <f t="shared" si="3"/>
        <v>0</v>
      </c>
      <c r="F31" s="8">
        <f t="shared" si="3"/>
        <v>0</v>
      </c>
      <c r="G31" s="8">
        <f t="shared" si="3"/>
        <v>0</v>
      </c>
      <c r="H31" s="8">
        <f t="shared" si="3"/>
        <v>313971260</v>
      </c>
      <c r="I31" s="13"/>
      <c r="J31" s="13"/>
      <c r="K31" s="13"/>
    </row>
    <row r="32" spans="2:11" s="2" customFormat="1" ht="25.5" x14ac:dyDescent="0.2">
      <c r="B32" s="27" t="s">
        <v>519</v>
      </c>
      <c r="C32" s="12">
        <v>250000000</v>
      </c>
      <c r="D32" s="12">
        <v>250000000</v>
      </c>
      <c r="E32" s="12"/>
      <c r="F32" s="12"/>
      <c r="G32" s="12"/>
      <c r="H32" s="12">
        <v>139970000</v>
      </c>
      <c r="I32" s="3" t="s">
        <v>31</v>
      </c>
      <c r="J32" s="24" t="s">
        <v>77</v>
      </c>
      <c r="K32" s="3"/>
    </row>
    <row r="33" spans="2:12" s="2" customFormat="1" ht="22.15" customHeight="1" x14ac:dyDescent="0.2">
      <c r="B33" s="27" t="s">
        <v>520</v>
      </c>
      <c r="C33" s="12"/>
      <c r="D33" s="12"/>
      <c r="E33" s="12"/>
      <c r="F33" s="12"/>
      <c r="G33" s="12"/>
      <c r="H33" s="12"/>
      <c r="I33" s="3"/>
      <c r="J33" s="3" t="s">
        <v>80</v>
      </c>
      <c r="K33" s="3"/>
    </row>
    <row r="34" spans="2:12" s="2" customFormat="1" ht="35.450000000000003" customHeight="1" x14ac:dyDescent="0.2">
      <c r="B34" s="27" t="s">
        <v>521</v>
      </c>
      <c r="C34" s="12">
        <v>200000000</v>
      </c>
      <c r="D34" s="12">
        <v>125998740</v>
      </c>
      <c r="E34" s="12"/>
      <c r="F34" s="12"/>
      <c r="G34" s="12"/>
      <c r="H34" s="12">
        <f>C34-D34</f>
        <v>74001260</v>
      </c>
      <c r="I34" s="3" t="s">
        <v>31</v>
      </c>
      <c r="J34" s="22" t="s">
        <v>83</v>
      </c>
      <c r="K34" s="3"/>
    </row>
    <row r="35" spans="2:12" s="2" customFormat="1" ht="39" customHeight="1" x14ac:dyDescent="0.2">
      <c r="B35" s="27" t="s">
        <v>522</v>
      </c>
      <c r="C35" s="12"/>
      <c r="D35" s="12"/>
      <c r="E35" s="12"/>
      <c r="F35" s="12"/>
      <c r="G35" s="12"/>
      <c r="H35" s="12">
        <v>100000000</v>
      </c>
      <c r="I35" s="3" t="s">
        <v>31</v>
      </c>
      <c r="J35" s="24" t="s">
        <v>85</v>
      </c>
      <c r="K35" s="3"/>
    </row>
    <row r="36" spans="2:12" s="2" customFormat="1" ht="24" customHeight="1" x14ac:dyDescent="0.2">
      <c r="B36" s="7" t="s">
        <v>86</v>
      </c>
      <c r="C36" s="12"/>
      <c r="D36" s="12"/>
      <c r="E36" s="12"/>
      <c r="F36" s="12"/>
      <c r="G36" s="12"/>
      <c r="H36" s="12"/>
      <c r="I36" s="3"/>
      <c r="J36" s="3"/>
      <c r="K36" s="3"/>
    </row>
    <row r="37" spans="2:12" s="2" customFormat="1" ht="28.15" customHeight="1" x14ac:dyDescent="0.2">
      <c r="B37" s="11" t="s">
        <v>523</v>
      </c>
      <c r="C37" s="12"/>
      <c r="D37" s="12"/>
      <c r="E37" s="12"/>
      <c r="F37" s="12"/>
      <c r="G37" s="12"/>
      <c r="H37" s="12"/>
      <c r="I37" s="3"/>
      <c r="J37" s="3" t="s">
        <v>88</v>
      </c>
      <c r="K37" s="3"/>
    </row>
    <row r="38" spans="2:12" s="2" customFormat="1" ht="28.15" customHeight="1" x14ac:dyDescent="0.2">
      <c r="B38" s="11" t="s">
        <v>524</v>
      </c>
      <c r="C38" s="12"/>
      <c r="D38" s="12"/>
      <c r="E38" s="12"/>
      <c r="F38" s="12"/>
      <c r="G38" s="12"/>
      <c r="H38" s="12"/>
      <c r="I38" s="3"/>
      <c r="J38" s="3" t="s">
        <v>88</v>
      </c>
      <c r="K38" s="3"/>
    </row>
    <row r="39" spans="2:12" s="2" customFormat="1" ht="27" customHeight="1" x14ac:dyDescent="0.2">
      <c r="B39" s="27" t="s">
        <v>525</v>
      </c>
      <c r="C39" s="12"/>
      <c r="D39" s="12"/>
      <c r="E39" s="12"/>
      <c r="F39" s="12"/>
      <c r="G39" s="12"/>
      <c r="H39" s="12"/>
      <c r="I39" s="3"/>
      <c r="J39" s="3" t="s">
        <v>88</v>
      </c>
      <c r="K39" s="3"/>
    </row>
    <row r="40" spans="2:12" s="2" customFormat="1" ht="27" customHeight="1" x14ac:dyDescent="0.2">
      <c r="B40" s="11" t="s">
        <v>526</v>
      </c>
      <c r="C40" s="12"/>
      <c r="D40" s="12"/>
      <c r="E40" s="12"/>
      <c r="F40" s="12"/>
      <c r="G40" s="12"/>
      <c r="H40" s="12"/>
      <c r="I40" s="3"/>
      <c r="J40" s="3" t="s">
        <v>92</v>
      </c>
      <c r="K40" s="3"/>
    </row>
    <row r="41" spans="2:12" s="2" customFormat="1" ht="28.15" customHeight="1" x14ac:dyDescent="0.2">
      <c r="B41" s="11" t="s">
        <v>527</v>
      </c>
      <c r="C41" s="12"/>
      <c r="D41" s="12"/>
      <c r="E41" s="12"/>
      <c r="F41" s="12"/>
      <c r="G41" s="12"/>
      <c r="H41" s="12"/>
      <c r="I41" s="3"/>
      <c r="J41" s="3" t="s">
        <v>92</v>
      </c>
      <c r="K41" s="11"/>
      <c r="L41" s="15"/>
    </row>
    <row r="42" spans="2:12" s="2" customFormat="1" ht="20.45" customHeight="1" x14ac:dyDescent="0.2">
      <c r="B42" s="16" t="s">
        <v>98</v>
      </c>
      <c r="C42" s="17">
        <f t="shared" ref="C42:H42" si="4">SUBTOTAL(9,C7:C41)</f>
        <v>2653135496</v>
      </c>
      <c r="D42" s="17">
        <f t="shared" si="4"/>
        <v>3096995925</v>
      </c>
      <c r="E42" s="17">
        <f t="shared" si="4"/>
        <v>0</v>
      </c>
      <c r="F42" s="17">
        <f t="shared" si="4"/>
        <v>321</v>
      </c>
      <c r="G42" s="17">
        <f t="shared" si="4"/>
        <v>111740000</v>
      </c>
      <c r="H42" s="17">
        <f t="shared" si="4"/>
        <v>3773255260</v>
      </c>
      <c r="I42" s="18"/>
      <c r="J42" s="18"/>
      <c r="K42" s="19"/>
      <c r="L42" s="15"/>
    </row>
  </sheetData>
  <mergeCells count="5">
    <mergeCell ref="B1:K1"/>
    <mergeCell ref="C2:E2"/>
    <mergeCell ref="F2:K2"/>
    <mergeCell ref="E3:E4"/>
    <mergeCell ref="F3:K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D6D3-1563-4033-A7B8-882D8C69995F}">
  <dimension ref="A1:L20"/>
  <sheetViews>
    <sheetView showGridLines="0" workbookViewId="0">
      <selection activeCell="G14" sqref="G14"/>
    </sheetView>
  </sheetViews>
  <sheetFormatPr defaultRowHeight="15" x14ac:dyDescent="0.25"/>
  <cols>
    <col min="2" max="2" width="44.85546875" customWidth="1"/>
    <col min="3" max="3" width="17.28515625" customWidth="1"/>
    <col min="4" max="5" width="15.28515625" customWidth="1"/>
    <col min="6" max="6" width="12.7109375" customWidth="1"/>
    <col min="7" max="7" width="11.7109375" customWidth="1"/>
    <col min="8" max="9" width="12.28515625" customWidth="1"/>
    <col min="10" max="10" width="20.140625" customWidth="1"/>
    <col min="11" max="11" width="20.28515625" customWidth="1"/>
  </cols>
  <sheetData>
    <row r="1" spans="2:11" x14ac:dyDescent="0.25">
      <c r="B1" s="174" t="s">
        <v>0</v>
      </c>
      <c r="C1" s="175"/>
      <c r="D1" s="175"/>
      <c r="E1" s="175"/>
      <c r="F1" s="175"/>
      <c r="G1" s="175"/>
      <c r="H1" s="175"/>
      <c r="I1" s="175"/>
      <c r="J1" s="175"/>
      <c r="K1" s="175"/>
    </row>
    <row r="2" spans="2:11" s="2" customFormat="1" ht="14.65" customHeight="1" x14ac:dyDescent="0.2">
      <c r="B2" s="1"/>
      <c r="C2" s="196" t="s">
        <v>494</v>
      </c>
      <c r="D2" s="197"/>
      <c r="E2" s="198"/>
      <c r="F2" s="179" t="s">
        <v>2</v>
      </c>
      <c r="G2" s="180"/>
      <c r="H2" s="180"/>
      <c r="I2" s="180"/>
      <c r="J2" s="180"/>
      <c r="K2" s="181"/>
    </row>
    <row r="3" spans="2:11" s="2" customFormat="1" ht="14.65" customHeight="1" x14ac:dyDescent="0.2">
      <c r="B3" s="3"/>
      <c r="C3" s="4" t="s">
        <v>3</v>
      </c>
      <c r="D3" s="4" t="s">
        <v>4</v>
      </c>
      <c r="E3" s="199" t="s">
        <v>5</v>
      </c>
      <c r="F3" s="184" t="s">
        <v>6</v>
      </c>
      <c r="G3" s="185"/>
      <c r="H3" s="185"/>
      <c r="I3" s="185"/>
      <c r="J3" s="185"/>
      <c r="K3" s="186"/>
    </row>
    <row r="4" spans="2:11" s="2" customFormat="1" ht="12.75" x14ac:dyDescent="0.2">
      <c r="B4" s="3"/>
      <c r="C4" s="5"/>
      <c r="D4" s="5" t="s">
        <v>495</v>
      </c>
      <c r="E4" s="200"/>
      <c r="F4" s="6" t="s">
        <v>7</v>
      </c>
      <c r="G4" s="6" t="s">
        <v>8</v>
      </c>
      <c r="H4" s="6" t="s">
        <v>9</v>
      </c>
      <c r="I4" s="6" t="s">
        <v>11</v>
      </c>
      <c r="J4" s="6" t="s">
        <v>12</v>
      </c>
      <c r="K4" s="6" t="s">
        <v>496</v>
      </c>
    </row>
    <row r="5" spans="2:11" s="2" customFormat="1" ht="26.65" customHeight="1" x14ac:dyDescent="0.2">
      <c r="B5" s="7" t="s">
        <v>528</v>
      </c>
      <c r="C5" s="10"/>
      <c r="D5" s="10"/>
      <c r="E5" s="9">
        <v>0</v>
      </c>
      <c r="F5" s="9">
        <v>0</v>
      </c>
      <c r="G5" s="10"/>
      <c r="H5" s="10"/>
      <c r="I5" s="10"/>
      <c r="J5" s="10"/>
      <c r="K5" s="10"/>
    </row>
    <row r="6" spans="2:11" s="2" customFormat="1" ht="7.9" customHeight="1" x14ac:dyDescent="0.2">
      <c r="B6" s="20"/>
      <c r="C6" s="3"/>
      <c r="D6" s="3"/>
      <c r="E6" s="3"/>
      <c r="F6" s="3"/>
      <c r="G6" s="3"/>
      <c r="H6" s="3"/>
      <c r="I6" s="21"/>
      <c r="J6" s="21"/>
    </row>
    <row r="7" spans="2:11" s="2" customFormat="1" ht="12.75" x14ac:dyDescent="0.2">
      <c r="B7" s="7" t="s">
        <v>22</v>
      </c>
      <c r="C7" s="8"/>
      <c r="D7" s="8"/>
      <c r="E7" s="9"/>
      <c r="F7" s="9"/>
      <c r="G7" s="9"/>
      <c r="H7" s="9"/>
      <c r="I7" s="10"/>
      <c r="J7" s="10" t="s">
        <v>529</v>
      </c>
      <c r="K7" s="10"/>
    </row>
    <row r="8" spans="2:11" s="14" customFormat="1" ht="12.75" x14ac:dyDescent="0.2">
      <c r="B8" s="7" t="s">
        <v>45</v>
      </c>
      <c r="C8" s="8"/>
      <c r="D8" s="8"/>
      <c r="E8" s="8">
        <f t="shared" ref="E8:H8" si="0">SUBTOTAL(9,E9:E12)</f>
        <v>0</v>
      </c>
      <c r="F8" s="8">
        <f t="shared" si="0"/>
        <v>4</v>
      </c>
      <c r="G8" s="8">
        <f t="shared" si="0"/>
        <v>35200000</v>
      </c>
      <c r="H8" s="8">
        <f t="shared" si="0"/>
        <v>58400000</v>
      </c>
      <c r="I8" s="13"/>
      <c r="J8" s="13"/>
      <c r="K8" s="13"/>
    </row>
    <row r="9" spans="2:11" s="2" customFormat="1" ht="34.15" customHeight="1" x14ac:dyDescent="0.2">
      <c r="B9" s="26" t="s">
        <v>505</v>
      </c>
      <c r="C9" s="12"/>
      <c r="D9" s="12"/>
      <c r="E9" s="12"/>
      <c r="F9" s="12">
        <v>2</v>
      </c>
      <c r="G9" s="12">
        <v>20000000</v>
      </c>
      <c r="H9" s="12">
        <f>G9*2</f>
        <v>40000000</v>
      </c>
      <c r="I9" s="3"/>
      <c r="J9" s="3"/>
      <c r="K9" s="3"/>
    </row>
    <row r="10" spans="2:11" s="2" customFormat="1" ht="48.6" customHeight="1" x14ac:dyDescent="0.2">
      <c r="B10" s="26" t="s">
        <v>530</v>
      </c>
      <c r="C10" s="12"/>
      <c r="D10" s="12"/>
      <c r="E10" s="12"/>
      <c r="F10" s="12">
        <v>2</v>
      </c>
      <c r="G10" s="12">
        <v>3200000</v>
      </c>
      <c r="H10" s="12">
        <f>G10*F10</f>
        <v>6400000</v>
      </c>
      <c r="I10" s="3"/>
      <c r="J10" s="24" t="s">
        <v>531</v>
      </c>
      <c r="K10" s="3"/>
    </row>
    <row r="11" spans="2:11" s="2" customFormat="1" ht="39" customHeight="1" x14ac:dyDescent="0.2">
      <c r="B11" s="26" t="s">
        <v>532</v>
      </c>
      <c r="C11" s="12"/>
      <c r="D11" s="12"/>
      <c r="E11" s="12"/>
      <c r="F11" s="12"/>
      <c r="G11" s="12">
        <v>12000000</v>
      </c>
      <c r="H11" s="12">
        <v>12000000</v>
      </c>
      <c r="I11" s="3"/>
      <c r="J11" s="3"/>
      <c r="K11" s="3"/>
    </row>
    <row r="12" spans="2:11" s="2" customFormat="1" ht="22.15" customHeight="1" x14ac:dyDescent="0.2">
      <c r="B12" s="11" t="s">
        <v>533</v>
      </c>
      <c r="C12" s="12"/>
      <c r="D12" s="12"/>
      <c r="E12" s="12"/>
      <c r="F12" s="12"/>
      <c r="G12" s="12"/>
      <c r="H12" s="12"/>
      <c r="I12" s="3"/>
      <c r="J12" s="3"/>
      <c r="K12" s="3"/>
    </row>
    <row r="13" spans="2:11" s="14" customFormat="1" ht="38.25" x14ac:dyDescent="0.2">
      <c r="B13" s="7" t="s">
        <v>511</v>
      </c>
      <c r="C13" s="8"/>
      <c r="D13" s="8"/>
      <c r="E13" s="8">
        <f>SUBTOTAL(9,E15:E18)</f>
        <v>0</v>
      </c>
      <c r="F13" s="8">
        <f>SUBTOTAL(9,F15:F18)</f>
        <v>0</v>
      </c>
      <c r="G13" s="8">
        <f>SUBTOTAL(9,G15:G18)</f>
        <v>12000000</v>
      </c>
      <c r="H13" s="8">
        <f>SUBTOTAL(9,H15:H18)</f>
        <v>0</v>
      </c>
      <c r="I13" s="13"/>
      <c r="J13" s="13"/>
      <c r="K13" s="13"/>
    </row>
    <row r="14" spans="2:11" s="14" customFormat="1" ht="27" customHeight="1" x14ac:dyDescent="0.2">
      <c r="B14" s="11" t="s">
        <v>534</v>
      </c>
      <c r="C14" s="12"/>
      <c r="D14" s="12"/>
      <c r="E14" s="12"/>
      <c r="F14" s="12"/>
      <c r="G14" s="12">
        <v>4500000</v>
      </c>
      <c r="H14" s="12"/>
      <c r="I14" s="12"/>
      <c r="J14" s="12" t="s">
        <v>535</v>
      </c>
      <c r="K14" s="12"/>
    </row>
    <row r="15" spans="2:11" s="2" customFormat="1" ht="26.45" customHeight="1" x14ac:dyDescent="0.2">
      <c r="B15" s="26" t="s">
        <v>513</v>
      </c>
      <c r="C15" s="12"/>
      <c r="D15" s="12"/>
      <c r="E15" s="12"/>
      <c r="F15" s="12"/>
      <c r="G15" s="12">
        <v>6000000</v>
      </c>
      <c r="H15" s="12"/>
      <c r="I15" s="3"/>
      <c r="J15" s="3"/>
      <c r="K15" s="3"/>
    </row>
    <row r="16" spans="2:11" s="2" customFormat="1" ht="37.15" customHeight="1" x14ac:dyDescent="0.2">
      <c r="B16" s="26" t="s">
        <v>536</v>
      </c>
      <c r="C16" s="12"/>
      <c r="D16" s="12"/>
      <c r="E16" s="12"/>
      <c r="F16" s="12"/>
      <c r="G16" s="12">
        <v>6000000</v>
      </c>
      <c r="H16" s="12"/>
      <c r="I16" s="3"/>
      <c r="J16" s="24" t="s">
        <v>537</v>
      </c>
      <c r="K16" s="3"/>
    </row>
    <row r="17" spans="1:12" s="2" customFormat="1" ht="12.75" x14ac:dyDescent="0.2">
      <c r="A17" s="11"/>
      <c r="B17" s="11"/>
      <c r="C17" s="12"/>
      <c r="D17" s="12"/>
      <c r="E17" s="12"/>
      <c r="F17" s="12"/>
      <c r="G17" s="12"/>
      <c r="H17" s="12"/>
      <c r="I17" s="3"/>
      <c r="J17" s="3"/>
      <c r="K17" s="3"/>
    </row>
    <row r="18" spans="1:12" s="2" customFormat="1" ht="12.75" x14ac:dyDescent="0.2">
      <c r="B18" s="11" t="s">
        <v>538</v>
      </c>
      <c r="C18" s="12"/>
      <c r="D18" s="12"/>
      <c r="E18" s="12"/>
      <c r="F18" s="12"/>
      <c r="G18" s="12"/>
      <c r="H18" s="12"/>
      <c r="I18" s="3"/>
      <c r="J18" s="3"/>
      <c r="K18" s="3"/>
    </row>
    <row r="19" spans="1:12" s="2" customFormat="1" ht="12.75" x14ac:dyDescent="0.2">
      <c r="B19" s="11" t="s">
        <v>538</v>
      </c>
      <c r="C19" s="12"/>
      <c r="D19" s="12"/>
      <c r="E19" s="12"/>
      <c r="F19" s="12"/>
      <c r="G19" s="12"/>
      <c r="H19" s="12"/>
      <c r="I19" s="3"/>
      <c r="J19" s="3"/>
      <c r="K19" s="11"/>
      <c r="L19" s="15"/>
    </row>
    <row r="20" spans="1:12" s="2" customFormat="1" ht="12.75" x14ac:dyDescent="0.2">
      <c r="B20" s="16" t="s">
        <v>98</v>
      </c>
      <c r="C20" s="17">
        <f t="shared" ref="C20:H20" si="1">SUBTOTAL(9,C7:C19)</f>
        <v>0</v>
      </c>
      <c r="D20" s="17">
        <f t="shared" si="1"/>
        <v>0</v>
      </c>
      <c r="E20" s="17">
        <f t="shared" si="1"/>
        <v>0</v>
      </c>
      <c r="F20" s="17">
        <f t="shared" si="1"/>
        <v>4</v>
      </c>
      <c r="G20" s="17">
        <f t="shared" si="1"/>
        <v>51700000</v>
      </c>
      <c r="H20" s="17">
        <f t="shared" si="1"/>
        <v>58400000</v>
      </c>
      <c r="I20" s="18"/>
      <c r="J20" s="18"/>
      <c r="K20" s="19"/>
      <c r="L20" s="15"/>
    </row>
  </sheetData>
  <mergeCells count="5">
    <mergeCell ref="B1:K1"/>
    <mergeCell ref="C2:E2"/>
    <mergeCell ref="F2:K2"/>
    <mergeCell ref="E3:E4"/>
    <mergeCell ref="F3:K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678E-ACA2-4673-8D0E-395724C5ED3B}">
  <dimension ref="B1:L12"/>
  <sheetViews>
    <sheetView showGridLines="0" workbookViewId="0">
      <selection activeCell="D21" sqref="D21"/>
    </sheetView>
  </sheetViews>
  <sheetFormatPr defaultRowHeight="15" x14ac:dyDescent="0.25"/>
  <cols>
    <col min="2" max="2" width="44.85546875" customWidth="1"/>
    <col min="3" max="3" width="17.28515625" customWidth="1"/>
    <col min="4" max="5" width="15.28515625" customWidth="1"/>
    <col min="6" max="6" width="12.7109375" customWidth="1"/>
    <col min="7" max="7" width="11.7109375" customWidth="1"/>
    <col min="8" max="9" width="12.28515625" customWidth="1"/>
    <col min="10" max="10" width="24.28515625" customWidth="1"/>
    <col min="11" max="11" width="20.28515625" customWidth="1"/>
  </cols>
  <sheetData>
    <row r="1" spans="2:12" x14ac:dyDescent="0.25">
      <c r="B1" s="174" t="s">
        <v>0</v>
      </c>
      <c r="C1" s="175"/>
      <c r="D1" s="175"/>
      <c r="E1" s="175"/>
      <c r="F1" s="175"/>
      <c r="G1" s="175"/>
      <c r="H1" s="175"/>
      <c r="I1" s="175"/>
      <c r="J1" s="175"/>
      <c r="K1" s="175"/>
    </row>
    <row r="2" spans="2:12" s="2" customFormat="1" ht="14.65" customHeight="1" x14ac:dyDescent="0.2">
      <c r="B2" s="1"/>
      <c r="C2" s="196" t="s">
        <v>494</v>
      </c>
      <c r="D2" s="197"/>
      <c r="E2" s="198"/>
      <c r="F2" s="179" t="s">
        <v>2</v>
      </c>
      <c r="G2" s="180"/>
      <c r="H2" s="180"/>
      <c r="I2" s="180"/>
      <c r="J2" s="180"/>
      <c r="K2" s="181"/>
    </row>
    <row r="3" spans="2:12" s="2" customFormat="1" ht="14.65" customHeight="1" x14ac:dyDescent="0.2">
      <c r="B3" s="3"/>
      <c r="C3" s="4" t="s">
        <v>3</v>
      </c>
      <c r="D3" s="4" t="s">
        <v>4</v>
      </c>
      <c r="E3" s="199" t="s">
        <v>5</v>
      </c>
      <c r="F3" s="184" t="s">
        <v>6</v>
      </c>
      <c r="G3" s="185"/>
      <c r="H3" s="185"/>
      <c r="I3" s="185"/>
      <c r="J3" s="185"/>
      <c r="K3" s="186"/>
    </row>
    <row r="4" spans="2:12" s="2" customFormat="1" ht="12.75" x14ac:dyDescent="0.2">
      <c r="B4" s="3"/>
      <c r="C4" s="5"/>
      <c r="D4" s="5" t="s">
        <v>495</v>
      </c>
      <c r="E4" s="200"/>
      <c r="F4" s="6" t="s">
        <v>7</v>
      </c>
      <c r="G4" s="6" t="s">
        <v>8</v>
      </c>
      <c r="H4" s="6" t="s">
        <v>9</v>
      </c>
      <c r="I4" s="6" t="s">
        <v>11</v>
      </c>
      <c r="J4" s="6" t="s">
        <v>12</v>
      </c>
      <c r="K4" s="6" t="s">
        <v>496</v>
      </c>
    </row>
    <row r="5" spans="2:12" s="2" customFormat="1" ht="26.65" customHeight="1" x14ac:dyDescent="0.2">
      <c r="B5" s="7" t="s">
        <v>14</v>
      </c>
      <c r="C5" s="10"/>
      <c r="D5" s="10"/>
      <c r="E5" s="9">
        <v>0</v>
      </c>
      <c r="F5" s="9">
        <v>0</v>
      </c>
      <c r="G5" s="10"/>
      <c r="H5" s="10"/>
      <c r="I5" s="10"/>
      <c r="J5" s="10"/>
      <c r="K5" s="10"/>
    </row>
    <row r="6" spans="2:12" s="2" customFormat="1" ht="7.9" customHeight="1" x14ac:dyDescent="0.2">
      <c r="B6" s="20"/>
      <c r="C6" s="3"/>
      <c r="D6" s="3"/>
      <c r="E6" s="3"/>
      <c r="F6" s="3"/>
      <c r="G6" s="3"/>
      <c r="H6" s="3"/>
      <c r="I6" s="21"/>
      <c r="J6" s="21"/>
    </row>
    <row r="7" spans="2:12" s="2" customFormat="1" ht="12.75" x14ac:dyDescent="0.2">
      <c r="B7" s="7" t="s">
        <v>22</v>
      </c>
      <c r="C7" s="8"/>
      <c r="D7" s="8"/>
      <c r="E7" s="9"/>
      <c r="F7" s="9"/>
      <c r="G7" s="9"/>
      <c r="H7" s="9"/>
      <c r="I7" s="10"/>
      <c r="J7" s="10"/>
      <c r="K7" s="10"/>
    </row>
    <row r="8" spans="2:12" s="2" customFormat="1" ht="37.15" customHeight="1" x14ac:dyDescent="0.2">
      <c r="B8" s="26" t="s">
        <v>530</v>
      </c>
      <c r="C8" s="12"/>
      <c r="D8" s="12"/>
      <c r="E8" s="12"/>
      <c r="F8" s="12"/>
      <c r="G8" s="12"/>
      <c r="H8" s="12">
        <v>20000000</v>
      </c>
      <c r="I8" s="3"/>
      <c r="J8" s="24" t="s">
        <v>539</v>
      </c>
      <c r="K8" s="3"/>
    </row>
    <row r="9" spans="2:12" s="14" customFormat="1" ht="44.45" customHeight="1" x14ac:dyDescent="0.2">
      <c r="B9" s="7" t="s">
        <v>511</v>
      </c>
      <c r="C9" s="8"/>
      <c r="D9" s="8"/>
      <c r="E9" s="8">
        <f>SUBTOTAL(9,E11:E11)</f>
        <v>0</v>
      </c>
      <c r="F9" s="8">
        <f>SUBTOTAL(9,F11:F11)</f>
        <v>0</v>
      </c>
      <c r="G9" s="8">
        <f>SUBTOTAL(9,G11:G11)</f>
        <v>0</v>
      </c>
      <c r="H9" s="8">
        <f>SUBTOTAL(9,H11:H11)</f>
        <v>13000000</v>
      </c>
      <c r="I9" s="13"/>
      <c r="J9" s="13"/>
      <c r="K9" s="13"/>
    </row>
    <row r="10" spans="2:12" s="14" customFormat="1" ht="39.6" customHeight="1" x14ac:dyDescent="0.2">
      <c r="B10" s="11" t="s">
        <v>540</v>
      </c>
      <c r="C10" s="12"/>
      <c r="D10" s="12"/>
      <c r="E10" s="12"/>
      <c r="F10" s="12"/>
      <c r="G10" s="12"/>
      <c r="H10" s="12">
        <v>20000000</v>
      </c>
      <c r="I10" s="12"/>
      <c r="J10" s="24" t="s">
        <v>541</v>
      </c>
      <c r="K10" s="3"/>
    </row>
    <row r="11" spans="2:12" s="2" customFormat="1" ht="29.45" customHeight="1" x14ac:dyDescent="0.2">
      <c r="B11" s="11" t="s">
        <v>513</v>
      </c>
      <c r="C11" s="12"/>
      <c r="D11" s="12"/>
      <c r="E11" s="12"/>
      <c r="F11" s="12"/>
      <c r="G11" s="12"/>
      <c r="H11" s="12">
        <v>13000000</v>
      </c>
      <c r="I11" s="12"/>
      <c r="J11" s="3"/>
      <c r="K11" s="3"/>
    </row>
    <row r="12" spans="2:12" s="2" customFormat="1" ht="12.75" x14ac:dyDescent="0.2">
      <c r="B12" s="16" t="s">
        <v>98</v>
      </c>
      <c r="C12" s="17">
        <f>SUBTOTAL(9,C7:C11)</f>
        <v>0</v>
      </c>
      <c r="D12" s="17"/>
      <c r="E12" s="17">
        <f>SUBTOTAL(9,E7:E11)</f>
        <v>0</v>
      </c>
      <c r="F12" s="17">
        <f>SUBTOTAL(9,F7:F11)</f>
        <v>0</v>
      </c>
      <c r="G12" s="17">
        <f>SUBTOTAL(9,G7:G11)</f>
        <v>0</v>
      </c>
      <c r="H12" s="17">
        <f>SUBTOTAL(9,H7:H11)</f>
        <v>53000000</v>
      </c>
      <c r="I12" s="18"/>
      <c r="J12" s="18"/>
      <c r="K12" s="19"/>
      <c r="L12" s="15"/>
    </row>
  </sheetData>
  <mergeCells count="5">
    <mergeCell ref="B1:K1"/>
    <mergeCell ref="C2:E2"/>
    <mergeCell ref="F2:K2"/>
    <mergeCell ref="E3:E4"/>
    <mergeCell ref="F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23AAC1FD26946A5D650AB3BF62441" ma:contentTypeVersion="13" ma:contentTypeDescription="Create a new document." ma:contentTypeScope="" ma:versionID="2dca2bb3f5e5f0f1402e635d036baecf">
  <xsd:schema xmlns:xsd="http://www.w3.org/2001/XMLSchema" xmlns:xs="http://www.w3.org/2001/XMLSchema" xmlns:p="http://schemas.microsoft.com/office/2006/metadata/properties" xmlns:ns2="96b625d3-b521-43e2-909e-fd440c9ca765" xmlns:ns3="e5579b77-2fd0-4ad2-972a-8e4c541e66c7" targetNamespace="http://schemas.microsoft.com/office/2006/metadata/properties" ma:root="true" ma:fieldsID="b7b89d5659d9c9146f1d83660454b3db" ns2:_="" ns3:_="">
    <xsd:import namespace="96b625d3-b521-43e2-909e-fd440c9ca765"/>
    <xsd:import namespace="e5579b77-2fd0-4ad2-972a-8e4c541e66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625d3-b521-43e2-909e-fd440c9ca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002871-825a-4bf0-a0ff-42410ea80b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79b77-2fd0-4ad2-972a-8e4c541e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6d50ae1-01f9-4bdf-a060-8c959fb6bbf1}" ma:internalName="TaxCatchAll" ma:showField="CatchAllData" ma:web="e5579b77-2fd0-4ad2-972a-8e4c541e66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b625d3-b521-43e2-909e-fd440c9ca765">
      <Terms xmlns="http://schemas.microsoft.com/office/infopath/2007/PartnerControls"/>
    </lcf76f155ced4ddcb4097134ff3c332f>
    <TaxCatchAll xmlns="e5579b77-2fd0-4ad2-972a-8e4c541e66c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045F631-DF54-4ACE-B63E-70A110E0010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6b625d3-b521-43e2-909e-fd440c9ca765"/>
    <ds:schemaRef ds:uri="e5579b77-2fd0-4ad2-972a-8e4c541e66c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AF1A5A-3BE6-46FE-94BB-8A13A1934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FF9A6-83FA-489E-9293-C50A8994A5A9}">
  <ds:schemaRefs>
    <ds:schemaRef ds:uri="http://schemas.microsoft.com/office/2006/metadata/properties"/>
    <ds:schemaRef ds:uri="http://www.w3.org/2000/xmlns/"/>
    <ds:schemaRef ds:uri="96b625d3-b521-43e2-909e-fd440c9ca765"/>
    <ds:schemaRef ds:uri="http://schemas.microsoft.com/office/infopath/2007/PartnerControls"/>
    <ds:schemaRef ds:uri="e5579b77-2fd0-4ad2-972a-8e4c541e66c7"/>
    <ds:schemaRef ds:uri="http://www.w3.org/2001/XMLSchema-instance"/>
  </ds:schemaRefs>
</ds:datastoreItem>
</file>

<file path=customXml/itemProps4.xml><?xml version="1.0" encoding="utf-8"?>
<ds:datastoreItem xmlns:ds="http://schemas.openxmlformats.org/officeDocument/2006/customXml" ds:itemID="{38D18799-1430-446D-B192-06B83E3E8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Sum A</vt:lpstr>
      <vt:lpstr>Sum</vt:lpstr>
      <vt:lpstr>Detail</vt:lpstr>
      <vt:lpstr>Waranty</vt:lpstr>
      <vt:lpstr>Catalogue</vt:lpstr>
      <vt:lpstr>Dept</vt:lpstr>
      <vt:lpstr>NCC</vt:lpstr>
      <vt:lpstr>IT Budget HCMC</vt:lpstr>
      <vt:lpstr>IT Budget DAN</vt:lpstr>
      <vt:lpstr>IT Budget for Client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An Thi (Chief Accountant)</dc:creator>
  <cp:keywords/>
  <dc:description/>
  <cp:lastModifiedBy>usero3 usero3</cp:lastModifiedBy>
  <cp:revision/>
  <dcterms:created xsi:type="dcterms:W3CDTF">2021-09-19T15:24:19Z</dcterms:created>
  <dcterms:modified xsi:type="dcterms:W3CDTF">2022-07-12T02:48:33Z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0x01010030723AAC1FD26946A5D650AB3BF62441</vt:lpwstr>
  </property>
  <property fmtid="{D5CDD505-2E9C-101B-9397-08002B2CF9AE}" pid="3" name="MediaServiceImageTags">
    <vt:lpwstr/>
  </property>
</Properties>
</file>