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a00cca614a243a/Dokumenter/SOK - 2014 Kost og nytteanalyse/"/>
    </mc:Choice>
  </mc:AlternateContent>
  <xr:revisionPtr revIDLastSave="1407" documentId="8_{2FC1E637-CA46-467F-9B3F-FB51F5D074E8}" xr6:coauthVersionLast="47" xr6:coauthVersionMax="47" xr10:uidLastSave="{D0C17F05-2B32-41DC-A234-7F222AEC02B6}"/>
  <bookViews>
    <workbookView xWindow="-98" yWindow="-98" windowWidth="23236" windowHeight="13875" xr2:uid="{F8D5ABEA-5093-421A-9348-231DEE92C530}"/>
  </bookViews>
  <sheets>
    <sheet name="Nettonåverdi" sheetId="1" r:id="rId1"/>
    <sheet name="Tiltakskostnad" sheetId="2" r:id="rId2"/>
    <sheet name="Strøm-pris Lineær Prognose " sheetId="3" r:id="rId3"/>
    <sheet name="Gass-pris lineær prognose " sheetId="4" r:id="rId4"/>
    <sheet name="NOx-pris Lineær progno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A2" i="5"/>
  <c r="A3" i="5"/>
  <c r="A4" i="5" s="1"/>
  <c r="A5" i="5" s="1"/>
  <c r="A6" i="5" s="1"/>
  <c r="A7" i="5" s="1"/>
  <c r="A8" i="5" s="1"/>
  <c r="A9" i="5" s="1"/>
  <c r="B18" i="1"/>
  <c r="C18" i="1" s="1"/>
  <c r="C33" i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C34" i="1"/>
  <c r="B3" i="1"/>
  <c r="B4" i="1" s="1"/>
  <c r="A10" i="5" l="1"/>
  <c r="B9" i="5"/>
  <c r="H36" i="1"/>
  <c r="C36" i="1"/>
  <c r="D18" i="1"/>
  <c r="D35" i="1"/>
  <c r="C35" i="1"/>
  <c r="D36" i="1"/>
  <c r="E36" i="1"/>
  <c r="F36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2" i="1"/>
  <c r="C32" i="1"/>
  <c r="D32" i="1"/>
  <c r="E32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B40" i="1"/>
  <c r="B41" i="1" s="1"/>
  <c r="B10" i="2"/>
  <c r="B11" i="2" s="1"/>
  <c r="B13" i="2" s="1"/>
  <c r="B10" i="5" l="1"/>
  <c r="A11" i="5"/>
  <c r="E18" i="1"/>
  <c r="E35" i="1"/>
  <c r="E38" i="1" s="1"/>
  <c r="E41" i="1" s="1"/>
  <c r="D38" i="1"/>
  <c r="D41" i="1" s="1"/>
  <c r="C38" i="1"/>
  <c r="A12" i="5" l="1"/>
  <c r="B11" i="5"/>
  <c r="C41" i="1"/>
  <c r="C42" i="1" s="1"/>
  <c r="D42" i="1" s="1"/>
  <c r="E42" i="1" s="1"/>
  <c r="F18" i="1"/>
  <c r="F35" i="1"/>
  <c r="F38" i="1" s="1"/>
  <c r="F41" i="1" s="1"/>
  <c r="B12" i="5" l="1"/>
  <c r="A13" i="5"/>
  <c r="F42" i="1"/>
  <c r="G18" i="1"/>
  <c r="G35" i="1"/>
  <c r="G38" i="1" s="1"/>
  <c r="G41" i="1" s="1"/>
  <c r="A14" i="5" l="1"/>
  <c r="B13" i="5"/>
  <c r="H18" i="1"/>
  <c r="H35" i="1"/>
  <c r="H38" i="1" s="1"/>
  <c r="H41" i="1" s="1"/>
  <c r="G42" i="1"/>
  <c r="B14" i="5" l="1"/>
  <c r="A15" i="5"/>
  <c r="H42" i="1"/>
  <c r="I18" i="1"/>
  <c r="I35" i="1"/>
  <c r="I38" i="1" s="1"/>
  <c r="I41" i="1" s="1"/>
  <c r="A16" i="5" l="1"/>
  <c r="B15" i="5"/>
  <c r="I42" i="1"/>
  <c r="J18" i="1"/>
  <c r="J35" i="1"/>
  <c r="J38" i="1" s="1"/>
  <c r="J41" i="1" s="1"/>
  <c r="A17" i="5" l="1"/>
  <c r="B16" i="5"/>
  <c r="J42" i="1"/>
  <c r="K18" i="1"/>
  <c r="K35" i="1"/>
  <c r="K38" i="1" s="1"/>
  <c r="K41" i="1" s="1"/>
  <c r="A18" i="5" l="1"/>
  <c r="B17" i="5"/>
  <c r="L18" i="1"/>
  <c r="L35" i="1"/>
  <c r="L38" i="1" s="1"/>
  <c r="L41" i="1" s="1"/>
  <c r="K42" i="1"/>
  <c r="A19" i="5" l="1"/>
  <c r="B18" i="5"/>
  <c r="L42" i="1"/>
  <c r="M18" i="1"/>
  <c r="M35" i="1"/>
  <c r="M38" i="1" s="1"/>
  <c r="M41" i="1" s="1"/>
  <c r="A20" i="5" l="1"/>
  <c r="B19" i="5"/>
  <c r="M42" i="1"/>
  <c r="N18" i="1"/>
  <c r="N35" i="1"/>
  <c r="N38" i="1" s="1"/>
  <c r="N41" i="1" s="1"/>
  <c r="A21" i="5" l="1"/>
  <c r="A22" i="5" s="1"/>
  <c r="B20" i="5"/>
  <c r="B21" i="5" s="1"/>
  <c r="N42" i="1"/>
  <c r="O18" i="1"/>
  <c r="O35" i="1"/>
  <c r="O38" i="1" s="1"/>
  <c r="O41" i="1" s="1"/>
  <c r="A23" i="5" l="1"/>
  <c r="B22" i="5"/>
  <c r="O42" i="1"/>
  <c r="P18" i="1"/>
  <c r="P35" i="1"/>
  <c r="P38" i="1" s="1"/>
  <c r="P41" i="1" s="1"/>
  <c r="A24" i="5" l="1"/>
  <c r="B23" i="5"/>
  <c r="P42" i="1"/>
  <c r="Q35" i="1"/>
  <c r="Q38" i="1" s="1"/>
  <c r="Q41" i="1" s="1"/>
  <c r="Q42" i="1" s="1"/>
  <c r="Q18" i="1"/>
  <c r="A25" i="5" l="1"/>
  <c r="A26" i="5" s="1"/>
  <c r="B24" i="5"/>
  <c r="B25" i="5" s="1"/>
  <c r="S18" i="1"/>
  <c r="T35" i="1" s="1"/>
  <c r="T38" i="1" s="1"/>
  <c r="T41" i="1" s="1"/>
  <c r="W18" i="1"/>
  <c r="X35" i="1" s="1"/>
  <c r="X38" i="1" s="1"/>
  <c r="X41" i="1" s="1"/>
  <c r="Z18" i="1"/>
  <c r="AA35" i="1" s="1"/>
  <c r="AA38" i="1" s="1"/>
  <c r="AA41" i="1" s="1"/>
  <c r="AC18" i="1"/>
  <c r="AD35" i="1" s="1"/>
  <c r="AD38" i="1" s="1"/>
  <c r="AD41" i="1" s="1"/>
  <c r="R35" i="1"/>
  <c r="R38" i="1" s="1"/>
  <c r="R41" i="1" s="1"/>
  <c r="R42" i="1" s="1"/>
  <c r="T18" i="1"/>
  <c r="U35" i="1" s="1"/>
  <c r="U38" i="1" s="1"/>
  <c r="U41" i="1" s="1"/>
  <c r="X18" i="1"/>
  <c r="Y35" i="1" s="1"/>
  <c r="Y38" i="1" s="1"/>
  <c r="Y41" i="1" s="1"/>
  <c r="Y18" i="1"/>
  <c r="Z35" i="1" s="1"/>
  <c r="Z38" i="1" s="1"/>
  <c r="Z41" i="1" s="1"/>
  <c r="AA18" i="1"/>
  <c r="AB35" i="1" s="1"/>
  <c r="AB38" i="1" s="1"/>
  <c r="AB41" i="1" s="1"/>
  <c r="AB18" i="1"/>
  <c r="AC35" i="1" s="1"/>
  <c r="AC38" i="1" s="1"/>
  <c r="AC41" i="1" s="1"/>
  <c r="U18" i="1"/>
  <c r="V35" i="1" s="1"/>
  <c r="V38" i="1" s="1"/>
  <c r="V41" i="1" s="1"/>
  <c r="AD18" i="1"/>
  <c r="AE35" i="1" s="1"/>
  <c r="AE38" i="1" s="1"/>
  <c r="AE41" i="1" s="1"/>
  <c r="V18" i="1"/>
  <c r="W35" i="1" s="1"/>
  <c r="W38" i="1" s="1"/>
  <c r="W41" i="1" s="1"/>
  <c r="AE18" i="1"/>
  <c r="AF35" i="1" s="1"/>
  <c r="AF38" i="1" s="1"/>
  <c r="AF41" i="1" s="1"/>
  <c r="AF18" i="1"/>
  <c r="R18" i="1"/>
  <c r="S35" i="1" s="1"/>
  <c r="S38" i="1" s="1"/>
  <c r="S41" i="1" s="1"/>
  <c r="A27" i="5" l="1"/>
  <c r="B26" i="5"/>
  <c r="S42" i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B44" i="1"/>
  <c r="B45" i="1"/>
  <c r="A28" i="5" l="1"/>
  <c r="A29" i="5" s="1"/>
  <c r="A30" i="5" s="1"/>
  <c r="A31" i="5" s="1"/>
  <c r="B27" i="5"/>
  <c r="B28" i="5" s="1"/>
  <c r="B29" i="5" s="1"/>
  <c r="B30" i="5" s="1"/>
  <c r="A32" i="5" l="1"/>
  <c r="A33" i="5" s="1"/>
  <c r="B31" i="5"/>
  <c r="B32" i="5" s="1"/>
  <c r="A34" i="5" l="1"/>
  <c r="B33" i="5"/>
  <c r="B34" i="5" l="1"/>
  <c r="A35" i="5"/>
  <c r="A36" i="5" l="1"/>
  <c r="A37" i="5" s="1"/>
  <c r="A38" i="5" s="1"/>
  <c r="B35" i="5"/>
  <c r="B36" i="5" s="1"/>
  <c r="B37" i="5" s="1"/>
  <c r="B38" i="5" s="1"/>
</calcChain>
</file>

<file path=xl/sharedStrings.xml><?xml version="1.0" encoding="utf-8"?>
<sst xmlns="http://schemas.openxmlformats.org/spreadsheetml/2006/main" count="51" uniqueCount="47">
  <si>
    <t>Inndata</t>
  </si>
  <si>
    <t>Kostnader</t>
  </si>
  <si>
    <t xml:space="preserve">Diskonteringsrate </t>
  </si>
  <si>
    <t>Andre vedlikeholdskostnader</t>
  </si>
  <si>
    <t xml:space="preserve">Prosjektets levetid </t>
  </si>
  <si>
    <t>Anleggsmidler</t>
  </si>
  <si>
    <t>Gassinntekter</t>
  </si>
  <si>
    <t>Besparelser i CO2 kvoter</t>
  </si>
  <si>
    <t xml:space="preserve">Strømkostnader </t>
  </si>
  <si>
    <t>Driftsresultat</t>
  </si>
  <si>
    <t>Nettonåverdi</t>
  </si>
  <si>
    <t>Investering i anleggsmiddler</t>
  </si>
  <si>
    <t>Kontantstrøm før skatt</t>
  </si>
  <si>
    <t>Internrente</t>
  </si>
  <si>
    <t>Mengde frigjort gass/MMBtu</t>
  </si>
  <si>
    <t xml:space="preserve">Lav bane </t>
  </si>
  <si>
    <t>Høy bane (IPCC 1,5°-bane - median)</t>
  </si>
  <si>
    <t>År</t>
  </si>
  <si>
    <t>30 år</t>
  </si>
  <si>
    <t>Investeringsutgift</t>
  </si>
  <si>
    <t xml:space="preserve">Rente </t>
  </si>
  <si>
    <t>Årlige kostnader</t>
  </si>
  <si>
    <t>Inndata:</t>
  </si>
  <si>
    <t>Nåverdi kostnader</t>
  </si>
  <si>
    <t>Netto nåverdi</t>
  </si>
  <si>
    <t>Tiltakskostnad:</t>
  </si>
  <si>
    <t>Årlig CO2 reduksjon (tonn)</t>
  </si>
  <si>
    <t xml:space="preserve">Høy bane </t>
  </si>
  <si>
    <t>Petroleum (CO2-kvoter/tonn):</t>
  </si>
  <si>
    <t>Årlig kraftbehov/mWh</t>
  </si>
  <si>
    <t>Årlig kraftbehov/kWh</t>
  </si>
  <si>
    <t>Antall årlige timer</t>
  </si>
  <si>
    <t>Reduksjon i CO2-utslipp/tonn</t>
  </si>
  <si>
    <t>Reduksjon i Nox utslipp/tonn</t>
  </si>
  <si>
    <t>Akkumulert overskudd</t>
  </si>
  <si>
    <t>Gasspris NOK/MMBtu</t>
  </si>
  <si>
    <t>Valutakurs USD/NOK</t>
  </si>
  <si>
    <t>Valutakurs Euro/NOK</t>
  </si>
  <si>
    <t>Nox-pris NOK/tonn</t>
  </si>
  <si>
    <t>Strømpris NOK/kWh</t>
  </si>
  <si>
    <t xml:space="preserve">NOK/kWh </t>
  </si>
  <si>
    <t>NOK/MMBtu</t>
  </si>
  <si>
    <t>Besparelse i Nox avgifter</t>
  </si>
  <si>
    <t xml:space="preserve">År </t>
  </si>
  <si>
    <t>Pris NOK/kg</t>
  </si>
  <si>
    <t>Nox-fondet</t>
  </si>
  <si>
    <t>Tilbakebetalingstid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</si>
</sst>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kr&quot;\ #,##0.00;[Red]\-&quot;kr&quot;\ #,##0.00"/>
    <numFmt numFmtId="44" formatCode="_-&quot;kr&quot;\ * #,##0.00_-;\-&quot;kr&quot;\ * #,##0.00_-;_-&quot;kr&quot;\ * &quot;-&quot;??_-;_-@_-"/>
    <numFmt numFmtId="164" formatCode="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44" fontId="0" fillId="0" borderId="0" xfId="0" applyNumberFormat="1"/>
    <xf numFmtId="0" fontId="0" fillId="0" borderId="1" xfId="0" applyBorder="1"/>
    <xf numFmtId="44" fontId="0" fillId="2" borderId="0" xfId="0" applyNumberFormat="1" applyFill="1"/>
    <xf numFmtId="0" fontId="0" fillId="2" borderId="0" xfId="0" applyFill="1"/>
    <xf numFmtId="44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9" fontId="0" fillId="3" borderId="0" xfId="0" applyNumberFormat="1" applyFill="1"/>
    <xf numFmtId="44" fontId="0" fillId="3" borderId="0" xfId="0" applyNumberFormat="1" applyFill="1"/>
    <xf numFmtId="0" fontId="0" fillId="3" borderId="0" xfId="0" applyFill="1"/>
    <xf numFmtId="44" fontId="0" fillId="4" borderId="0" xfId="0" applyNumberFormat="1" applyFill="1"/>
    <xf numFmtId="2" fontId="0" fillId="3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left" vertical="top"/>
    </xf>
    <xf numFmtId="16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0" fillId="3" borderId="0" xfId="0" applyFill="1" applyAlignment="1">
      <alignment horizontal="right"/>
    </xf>
    <xf numFmtId="8" fontId="0" fillId="0" borderId="0" xfId="0" applyNumberFormat="1"/>
    <xf numFmtId="9" fontId="0" fillId="2" borderId="0" xfId="0" applyNumberFormat="1" applyFill="1"/>
    <xf numFmtId="2" fontId="0" fillId="2" borderId="0" xfId="0" applyNumberFormat="1" applyFill="1"/>
    <xf numFmtId="8" fontId="0" fillId="4" borderId="0" xfId="0" applyNumberFormat="1" applyFill="1"/>
    <xf numFmtId="2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horizontal="right"/>
    </xf>
    <xf numFmtId="10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" fontId="3" fillId="0" borderId="2" xfId="0" applyNumberFormat="1" applyFont="1" applyBorder="1"/>
    <xf numFmtId="1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0" fontId="1" fillId="0" borderId="3" xfId="0" applyFont="1" applyBorder="1"/>
    <xf numFmtId="0" fontId="0" fillId="0" borderId="3" xfId="0" applyBorder="1"/>
    <xf numFmtId="1" fontId="0" fillId="0" borderId="3" xfId="0" applyNumberFormat="1" applyBorder="1"/>
    <xf numFmtId="2" fontId="0" fillId="5" borderId="0" xfId="0" applyNumberFormat="1" applyFill="1"/>
    <xf numFmtId="0" fontId="0" fillId="5" borderId="0" xfId="0" applyFill="1"/>
    <xf numFmtId="44" fontId="0" fillId="2" borderId="0" xfId="0" applyNumberFormat="1" applyFill="1" applyBorder="1"/>
    <xf numFmtId="0" fontId="0" fillId="0" borderId="0" xfId="0" applyFill="1" applyBorder="1"/>
    <xf numFmtId="44" fontId="0" fillId="0" borderId="0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3DA7-FE76-4FF3-BFD4-2A5423F54C1B}">
  <dimension ref="A1:AH72"/>
  <sheetViews>
    <sheetView tabSelected="1" topLeftCell="A6" zoomScale="70" zoomScaleNormal="70" workbookViewId="0">
      <selection activeCell="G21" sqref="G21"/>
    </sheetView>
  </sheetViews>
  <sheetFormatPr baseColWidth="10" defaultRowHeight="14.25" x14ac:dyDescent="0.45"/>
  <cols>
    <col min="1" max="1" width="34.265625" customWidth="1"/>
    <col min="2" max="2" width="25.06640625" customWidth="1"/>
    <col min="3" max="3" width="23.73046875" customWidth="1"/>
    <col min="4" max="4" width="26.3984375" customWidth="1"/>
    <col min="5" max="5" width="21.3984375" customWidth="1"/>
    <col min="6" max="6" width="21.73046875" customWidth="1"/>
    <col min="7" max="7" width="22.796875" customWidth="1"/>
    <col min="8" max="8" width="19.59765625" customWidth="1"/>
    <col min="9" max="9" width="21.59765625" customWidth="1"/>
    <col min="10" max="10" width="19.33203125" customWidth="1"/>
    <col min="11" max="11" width="18.796875" customWidth="1"/>
    <col min="12" max="12" width="18.59765625" customWidth="1"/>
    <col min="13" max="13" width="19" customWidth="1"/>
    <col min="14" max="14" width="20.73046875" customWidth="1"/>
    <col min="15" max="15" width="18.265625" customWidth="1"/>
    <col min="16" max="16" width="20.796875" customWidth="1"/>
    <col min="17" max="17" width="19.265625" customWidth="1"/>
    <col min="18" max="18" width="20.59765625" customWidth="1"/>
    <col min="19" max="19" width="20.9296875" customWidth="1"/>
    <col min="20" max="20" width="19.1328125" customWidth="1"/>
    <col min="21" max="21" width="21.19921875" customWidth="1"/>
    <col min="22" max="22" width="20.59765625" customWidth="1"/>
    <col min="23" max="23" width="19.33203125" customWidth="1"/>
    <col min="24" max="24" width="19.3984375" customWidth="1"/>
    <col min="25" max="25" width="20.53125" customWidth="1"/>
    <col min="26" max="26" width="20.33203125" customWidth="1"/>
    <col min="27" max="27" width="22" customWidth="1"/>
    <col min="28" max="28" width="20.33203125" customWidth="1"/>
    <col min="29" max="29" width="22" customWidth="1"/>
    <col min="30" max="30" width="21.46484375" customWidth="1"/>
    <col min="31" max="31" width="18.86328125" customWidth="1"/>
    <col min="32" max="32" width="20.53125" customWidth="1"/>
  </cols>
  <sheetData>
    <row r="1" spans="1:32" ht="18" x14ac:dyDescent="0.55000000000000004">
      <c r="A1" s="1" t="s">
        <v>0</v>
      </c>
      <c r="G1" s="18"/>
      <c r="H1" s="14"/>
      <c r="I1" s="14"/>
      <c r="J1" s="14"/>
    </row>
    <row r="2" spans="1:32" x14ac:dyDescent="0.45">
      <c r="A2" t="s">
        <v>31</v>
      </c>
      <c r="B2" s="10">
        <v>8760</v>
      </c>
      <c r="D2" t="s">
        <v>2</v>
      </c>
      <c r="E2" s="8">
        <v>0.04</v>
      </c>
      <c r="G2" s="16"/>
      <c r="H2" s="16"/>
      <c r="I2" s="16"/>
    </row>
    <row r="3" spans="1:32" x14ac:dyDescent="0.45">
      <c r="A3" t="s">
        <v>29</v>
      </c>
      <c r="B3" s="10">
        <f>116*B2</f>
        <v>1016160</v>
      </c>
      <c r="D3" t="s">
        <v>4</v>
      </c>
      <c r="E3" s="23" t="s">
        <v>18</v>
      </c>
      <c r="H3" s="16"/>
      <c r="I3" s="17"/>
    </row>
    <row r="4" spans="1:32" x14ac:dyDescent="0.45">
      <c r="A4" t="s">
        <v>30</v>
      </c>
      <c r="B4" s="29">
        <f>B3*1000</f>
        <v>1016160000</v>
      </c>
      <c r="D4" t="s">
        <v>37</v>
      </c>
      <c r="E4" s="29">
        <v>11</v>
      </c>
      <c r="G4" s="16"/>
      <c r="H4" s="16"/>
      <c r="I4" s="16"/>
    </row>
    <row r="5" spans="1:32" x14ac:dyDescent="0.45">
      <c r="A5" t="s">
        <v>32</v>
      </c>
      <c r="B5" s="10">
        <v>450000</v>
      </c>
      <c r="D5" t="s">
        <v>36</v>
      </c>
      <c r="E5" s="10">
        <v>10</v>
      </c>
      <c r="F5" s="16"/>
      <c r="G5" s="16"/>
    </row>
    <row r="6" spans="1:32" x14ac:dyDescent="0.45">
      <c r="A6" t="s">
        <v>33</v>
      </c>
      <c r="B6" s="10">
        <v>850</v>
      </c>
      <c r="F6" s="16"/>
      <c r="G6" s="16"/>
    </row>
    <row r="7" spans="1:32" x14ac:dyDescent="0.45">
      <c r="A7" t="s">
        <v>14</v>
      </c>
      <c r="B7" s="12">
        <v>5778818.1799999997</v>
      </c>
      <c r="G7" s="16"/>
      <c r="H7" s="16"/>
      <c r="I7" s="16"/>
    </row>
    <row r="8" spans="1:32" x14ac:dyDescent="0.45">
      <c r="G8" s="16"/>
      <c r="H8" s="16"/>
      <c r="I8" s="17"/>
    </row>
    <row r="9" spans="1:32" x14ac:dyDescent="0.45">
      <c r="G9" s="16"/>
      <c r="H9" s="16"/>
      <c r="I9" s="16"/>
    </row>
    <row r="10" spans="1:32" ht="15.75" x14ac:dyDescent="0.45">
      <c r="A10" s="33" t="s">
        <v>17</v>
      </c>
      <c r="B10" s="19">
        <v>45658</v>
      </c>
      <c r="C10" s="19">
        <v>46023</v>
      </c>
      <c r="D10" s="19">
        <v>46388</v>
      </c>
      <c r="E10" s="19">
        <v>46753</v>
      </c>
      <c r="F10" s="19">
        <v>47119</v>
      </c>
      <c r="G10" s="19">
        <v>47484</v>
      </c>
      <c r="H10" s="19">
        <v>47849</v>
      </c>
      <c r="I10" s="19">
        <v>48214</v>
      </c>
      <c r="J10" s="19">
        <v>48580</v>
      </c>
      <c r="K10" s="19">
        <v>48945</v>
      </c>
      <c r="L10" s="19">
        <v>49310</v>
      </c>
      <c r="M10" s="19">
        <v>49675</v>
      </c>
      <c r="N10" s="19">
        <v>50041</v>
      </c>
      <c r="O10" s="19">
        <v>50406</v>
      </c>
      <c r="P10" s="19">
        <v>50771</v>
      </c>
      <c r="Q10" s="19">
        <v>51136</v>
      </c>
      <c r="R10" s="19">
        <v>51502</v>
      </c>
      <c r="S10" s="19">
        <v>51867</v>
      </c>
      <c r="T10" s="19">
        <v>52232</v>
      </c>
      <c r="U10" s="19">
        <v>52597</v>
      </c>
      <c r="V10" s="19">
        <v>52963</v>
      </c>
      <c r="W10" s="19">
        <v>53328</v>
      </c>
      <c r="X10" s="19">
        <v>53693</v>
      </c>
      <c r="Y10" s="19">
        <v>54058</v>
      </c>
      <c r="Z10" s="19">
        <v>54424</v>
      </c>
      <c r="AA10" s="19">
        <v>54789</v>
      </c>
      <c r="AB10" s="19">
        <v>55154</v>
      </c>
      <c r="AC10" s="19">
        <v>55519</v>
      </c>
      <c r="AD10" s="19">
        <v>55885</v>
      </c>
      <c r="AE10" s="19">
        <v>56250</v>
      </c>
      <c r="AF10" s="20">
        <v>2055</v>
      </c>
    </row>
    <row r="11" spans="1:32" x14ac:dyDescent="0.45">
      <c r="A11" s="21" t="s">
        <v>28</v>
      </c>
      <c r="B11" s="16">
        <v>1902</v>
      </c>
      <c r="C11" s="16">
        <v>2115</v>
      </c>
      <c r="D11" s="16">
        <v>2370</v>
      </c>
      <c r="E11" s="16">
        <v>2410</v>
      </c>
      <c r="F11" s="16">
        <v>2410</v>
      </c>
      <c r="G11" s="16">
        <v>2410</v>
      </c>
      <c r="H11" s="16">
        <v>2410</v>
      </c>
      <c r="I11" s="16">
        <v>2410</v>
      </c>
      <c r="J11" s="16">
        <v>2410</v>
      </c>
      <c r="K11" s="16">
        <v>2410</v>
      </c>
      <c r="L11" s="16">
        <v>2410</v>
      </c>
      <c r="M11" s="16">
        <v>2410</v>
      </c>
      <c r="N11" s="16">
        <v>2410</v>
      </c>
      <c r="O11" s="16">
        <v>2410</v>
      </c>
      <c r="P11" s="16">
        <v>2410</v>
      </c>
      <c r="Q11" s="16">
        <v>2410</v>
      </c>
      <c r="R11" s="16">
        <v>2410</v>
      </c>
      <c r="S11" s="16">
        <v>2410</v>
      </c>
      <c r="T11" s="16">
        <v>2410</v>
      </c>
      <c r="U11" s="16">
        <v>2410</v>
      </c>
      <c r="V11" s="16">
        <v>2410</v>
      </c>
      <c r="W11" s="16">
        <v>2410</v>
      </c>
      <c r="X11" s="16">
        <v>2410</v>
      </c>
      <c r="Y11" s="16">
        <v>2410</v>
      </c>
      <c r="Z11" s="16">
        <v>2410</v>
      </c>
      <c r="AA11" s="16">
        <v>2410</v>
      </c>
      <c r="AB11" s="16">
        <v>2410</v>
      </c>
      <c r="AC11" s="16">
        <v>2410</v>
      </c>
      <c r="AD11" s="16">
        <v>2418</v>
      </c>
      <c r="AE11" s="16">
        <v>2515</v>
      </c>
      <c r="AF11" s="16">
        <v>2616</v>
      </c>
    </row>
    <row r="12" spans="1:32" x14ac:dyDescent="0.45">
      <c r="A12" s="14" t="s">
        <v>15</v>
      </c>
      <c r="B12" s="16">
        <v>713</v>
      </c>
      <c r="C12" s="16">
        <v>727</v>
      </c>
      <c r="D12" s="16">
        <v>743</v>
      </c>
      <c r="E12" s="16">
        <v>761</v>
      </c>
      <c r="F12" s="16">
        <v>780</v>
      </c>
      <c r="G12" s="16">
        <v>800</v>
      </c>
      <c r="H12" s="16">
        <v>832</v>
      </c>
      <c r="I12" s="16">
        <v>865</v>
      </c>
      <c r="J12" s="16">
        <v>900</v>
      </c>
      <c r="K12" s="16">
        <v>936</v>
      </c>
      <c r="L12" s="16">
        <v>973</v>
      </c>
      <c r="M12" s="16">
        <v>1012</v>
      </c>
      <c r="N12" s="16">
        <v>1052</v>
      </c>
      <c r="O12" s="16">
        <v>1094</v>
      </c>
      <c r="P12" s="16">
        <v>1138</v>
      </c>
      <c r="Q12" s="16">
        <v>1184</v>
      </c>
      <c r="R12" s="16">
        <v>1231</v>
      </c>
      <c r="S12" s="16">
        <v>1280</v>
      </c>
      <c r="T12" s="16">
        <v>1332</v>
      </c>
      <c r="U12" s="16">
        <v>1385</v>
      </c>
      <c r="V12" s="16">
        <v>1440</v>
      </c>
      <c r="W12" s="16">
        <v>1498</v>
      </c>
      <c r="X12" s="16">
        <v>1558</v>
      </c>
      <c r="Y12" s="16">
        <v>1620</v>
      </c>
      <c r="Z12" s="16">
        <v>1685</v>
      </c>
      <c r="AA12" s="16">
        <v>1752</v>
      </c>
      <c r="AB12" s="16">
        <v>1822</v>
      </c>
      <c r="AC12" s="16">
        <v>1895</v>
      </c>
      <c r="AD12" s="16">
        <v>1971</v>
      </c>
      <c r="AE12" s="16">
        <v>2050</v>
      </c>
      <c r="AF12" s="16">
        <v>2132</v>
      </c>
    </row>
    <row r="13" spans="1:32" x14ac:dyDescent="0.45">
      <c r="A13" s="34" t="s">
        <v>16</v>
      </c>
      <c r="B13" s="35">
        <v>2043</v>
      </c>
      <c r="C13" s="36">
        <v>2206</v>
      </c>
      <c r="D13" s="36">
        <v>2382</v>
      </c>
      <c r="E13" s="36">
        <v>2571</v>
      </c>
      <c r="F13" s="36">
        <v>2776</v>
      </c>
      <c r="G13" s="35">
        <v>2997</v>
      </c>
      <c r="H13" s="36">
        <v>3177</v>
      </c>
      <c r="I13" s="36">
        <v>3368</v>
      </c>
      <c r="J13" s="36">
        <v>3571</v>
      </c>
      <c r="K13" s="36">
        <v>3785</v>
      </c>
      <c r="L13" s="36">
        <v>4013</v>
      </c>
      <c r="M13" s="36">
        <v>4254</v>
      </c>
      <c r="N13" s="36">
        <v>4510</v>
      </c>
      <c r="O13" s="36">
        <v>4781</v>
      </c>
      <c r="P13" s="36">
        <v>5068</v>
      </c>
      <c r="Q13" s="35">
        <v>5373</v>
      </c>
      <c r="R13" s="36">
        <v>5636</v>
      </c>
      <c r="S13" s="36">
        <v>5911</v>
      </c>
      <c r="T13" s="36">
        <v>6200</v>
      </c>
      <c r="U13" s="36">
        <v>6503</v>
      </c>
      <c r="V13" s="36">
        <v>6820</v>
      </c>
      <c r="W13" s="36">
        <v>7154</v>
      </c>
      <c r="X13" s="36">
        <v>7503</v>
      </c>
      <c r="Y13" s="36">
        <v>7870</v>
      </c>
      <c r="Z13" s="36">
        <v>8254</v>
      </c>
      <c r="AA13" s="35">
        <v>8658</v>
      </c>
      <c r="AB13" s="36">
        <v>8753</v>
      </c>
      <c r="AC13" s="36">
        <v>8849</v>
      </c>
      <c r="AD13" s="36">
        <v>8946</v>
      </c>
      <c r="AE13" s="36">
        <v>9044</v>
      </c>
      <c r="AF13" s="36">
        <v>9143</v>
      </c>
    </row>
    <row r="14" spans="1:32" x14ac:dyDescent="0.45">
      <c r="A14" s="22" t="s">
        <v>39</v>
      </c>
      <c r="B14" s="28">
        <v>0.6</v>
      </c>
      <c r="C14" s="28">
        <v>0.55666666666666664</v>
      </c>
      <c r="D14" s="28">
        <v>0.55666666666666664</v>
      </c>
      <c r="E14" s="28">
        <v>0.55666666666666664</v>
      </c>
      <c r="F14" s="28">
        <v>0.55666666666666664</v>
      </c>
      <c r="G14" s="28">
        <v>0.55000000000000004</v>
      </c>
      <c r="H14" s="28">
        <v>0.51546296296296301</v>
      </c>
      <c r="I14" s="28">
        <v>0.51056981132075474</v>
      </c>
      <c r="J14" s="28">
        <v>0.4966666666666667</v>
      </c>
      <c r="K14" s="28">
        <v>0.48166666666666669</v>
      </c>
      <c r="L14" s="28">
        <v>0.45</v>
      </c>
      <c r="M14" s="28">
        <v>0.453770362169436</v>
      </c>
      <c r="N14" s="28">
        <v>0.44196242113269335</v>
      </c>
      <c r="O14" s="28">
        <v>0.42582667285028553</v>
      </c>
      <c r="P14" s="28">
        <v>0.40877647189109068</v>
      </c>
      <c r="Q14" s="28">
        <v>0.4</v>
      </c>
      <c r="R14" s="28">
        <v>0.4</v>
      </c>
      <c r="S14" s="28">
        <v>0.4</v>
      </c>
      <c r="T14" s="28">
        <v>0.4</v>
      </c>
      <c r="U14" s="28">
        <v>0.4</v>
      </c>
      <c r="V14" s="28">
        <v>0.4</v>
      </c>
      <c r="W14" s="28">
        <v>0.4</v>
      </c>
      <c r="X14" s="28">
        <v>0.4</v>
      </c>
      <c r="Y14" s="28">
        <v>0.4</v>
      </c>
      <c r="Z14" s="28">
        <v>0.4</v>
      </c>
      <c r="AA14" s="28">
        <v>0.4</v>
      </c>
      <c r="AB14" s="28">
        <v>0.4</v>
      </c>
      <c r="AC14" s="28">
        <v>0.4</v>
      </c>
      <c r="AD14" s="28">
        <v>0.4</v>
      </c>
      <c r="AE14" s="28">
        <v>0.4</v>
      </c>
      <c r="AF14" s="28">
        <v>0.4</v>
      </c>
    </row>
    <row r="15" spans="1:32" x14ac:dyDescent="0.45">
      <c r="A15" t="s">
        <v>15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x14ac:dyDescent="0.45">
      <c r="A16" s="37" t="s">
        <v>27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7"/>
      <c r="AB16" s="38"/>
      <c r="AC16" s="38"/>
      <c r="AD16" s="38"/>
      <c r="AE16" s="38"/>
      <c r="AF16" s="38"/>
    </row>
    <row r="17" spans="1:34" x14ac:dyDescent="0.45">
      <c r="A17" s="39" t="s">
        <v>35</v>
      </c>
      <c r="B17" s="40">
        <v>65</v>
      </c>
      <c r="C17" s="40">
        <v>65</v>
      </c>
      <c r="D17" s="40">
        <v>65</v>
      </c>
      <c r="E17" s="40">
        <v>65</v>
      </c>
      <c r="F17" s="40">
        <v>65</v>
      </c>
      <c r="G17" s="40">
        <v>65</v>
      </c>
      <c r="H17" s="40">
        <v>65</v>
      </c>
      <c r="I17" s="40">
        <v>65</v>
      </c>
      <c r="J17" s="40">
        <v>65</v>
      </c>
      <c r="K17" s="40">
        <v>65</v>
      </c>
      <c r="L17" s="40">
        <v>65</v>
      </c>
      <c r="M17" s="40">
        <v>65</v>
      </c>
      <c r="N17" s="40">
        <v>65</v>
      </c>
      <c r="O17" s="40">
        <v>65</v>
      </c>
      <c r="P17" s="40">
        <v>65</v>
      </c>
      <c r="Q17" s="40">
        <v>65</v>
      </c>
      <c r="R17" s="40">
        <v>65</v>
      </c>
      <c r="S17" s="40">
        <v>65</v>
      </c>
      <c r="T17" s="40">
        <v>65</v>
      </c>
      <c r="U17" s="40">
        <v>65</v>
      </c>
      <c r="V17" s="40">
        <v>65</v>
      </c>
      <c r="W17" s="40">
        <v>65</v>
      </c>
      <c r="X17" s="40">
        <v>65</v>
      </c>
      <c r="Y17" s="40">
        <v>65</v>
      </c>
      <c r="Z17" s="40">
        <v>65</v>
      </c>
      <c r="AA17" s="41">
        <v>75</v>
      </c>
      <c r="AB17" s="41">
        <v>75</v>
      </c>
      <c r="AC17" s="41">
        <v>75</v>
      </c>
      <c r="AD17" s="41">
        <v>75</v>
      </c>
      <c r="AE17" s="41">
        <v>75</v>
      </c>
      <c r="AF17" s="41">
        <v>75</v>
      </c>
    </row>
    <row r="18" spans="1:34" x14ac:dyDescent="0.45">
      <c r="A18" s="22" t="s">
        <v>38</v>
      </c>
      <c r="B18">
        <f>26*1000</f>
        <v>26000</v>
      </c>
      <c r="C18">
        <f>B18+(0.5*1000)</f>
        <v>26500</v>
      </c>
      <c r="D18">
        <f t="shared" ref="D18:P18" si="0">C18+(0.5*1000)</f>
        <v>27000</v>
      </c>
      <c r="E18">
        <f t="shared" si="0"/>
        <v>27500</v>
      </c>
      <c r="F18">
        <f t="shared" si="0"/>
        <v>28000</v>
      </c>
      <c r="G18">
        <f t="shared" si="0"/>
        <v>28500</v>
      </c>
      <c r="H18">
        <f t="shared" si="0"/>
        <v>29000</v>
      </c>
      <c r="I18">
        <f t="shared" si="0"/>
        <v>29500</v>
      </c>
      <c r="J18">
        <f t="shared" si="0"/>
        <v>30000</v>
      </c>
      <c r="K18">
        <f t="shared" si="0"/>
        <v>30500</v>
      </c>
      <c r="L18">
        <f t="shared" si="0"/>
        <v>31000</v>
      </c>
      <c r="M18">
        <f t="shared" si="0"/>
        <v>31500</v>
      </c>
      <c r="N18">
        <f t="shared" si="0"/>
        <v>32000</v>
      </c>
      <c r="O18">
        <f t="shared" si="0"/>
        <v>32500</v>
      </c>
      <c r="P18">
        <f t="shared" si="0"/>
        <v>33000</v>
      </c>
      <c r="Q18">
        <f>P18+(0.5*1000)</f>
        <v>33500</v>
      </c>
      <c r="R18">
        <f>$Q$18</f>
        <v>33500</v>
      </c>
      <c r="S18">
        <f t="shared" ref="S18:AF18" si="1">$Q$18</f>
        <v>33500</v>
      </c>
      <c r="T18">
        <f t="shared" si="1"/>
        <v>33500</v>
      </c>
      <c r="U18">
        <f t="shared" si="1"/>
        <v>33500</v>
      </c>
      <c r="V18">
        <f t="shared" si="1"/>
        <v>33500</v>
      </c>
      <c r="W18">
        <f t="shared" si="1"/>
        <v>33500</v>
      </c>
      <c r="X18">
        <f t="shared" si="1"/>
        <v>33500</v>
      </c>
      <c r="Y18">
        <f t="shared" si="1"/>
        <v>33500</v>
      </c>
      <c r="Z18">
        <f t="shared" si="1"/>
        <v>33500</v>
      </c>
      <c r="AA18">
        <f t="shared" si="1"/>
        <v>33500</v>
      </c>
      <c r="AB18">
        <f t="shared" si="1"/>
        <v>33500</v>
      </c>
      <c r="AC18">
        <f t="shared" si="1"/>
        <v>33500</v>
      </c>
      <c r="AD18">
        <f t="shared" si="1"/>
        <v>33500</v>
      </c>
      <c r="AE18">
        <f t="shared" si="1"/>
        <v>33500</v>
      </c>
      <c r="AF18">
        <f t="shared" si="1"/>
        <v>33500</v>
      </c>
    </row>
    <row r="21" spans="1:34" ht="18" x14ac:dyDescent="0.55000000000000004">
      <c r="A21" s="1" t="s">
        <v>1</v>
      </c>
    </row>
    <row r="22" spans="1:34" x14ac:dyDescent="0.45">
      <c r="A22" t="s">
        <v>11</v>
      </c>
      <c r="B22" s="9">
        <v>8100000000</v>
      </c>
      <c r="H22" s="16"/>
      <c r="I22" s="17"/>
    </row>
    <row r="23" spans="1:34" x14ac:dyDescent="0.45">
      <c r="G23" s="16"/>
      <c r="H23" s="16"/>
      <c r="I23" s="16"/>
    </row>
    <row r="24" spans="1:34" x14ac:dyDescent="0.45">
      <c r="G24" s="16"/>
      <c r="H24" s="16"/>
      <c r="I24" s="16"/>
    </row>
    <row r="25" spans="1:34" x14ac:dyDescent="0.45">
      <c r="G25" s="16"/>
      <c r="H25" s="16"/>
      <c r="I25" s="16"/>
      <c r="AG25" s="13"/>
      <c r="AH25" s="13"/>
    </row>
    <row r="26" spans="1:34" x14ac:dyDescent="0.45">
      <c r="G26" s="16"/>
      <c r="H26" s="16"/>
    </row>
    <row r="27" spans="1:34" x14ac:dyDescent="0.45">
      <c r="F27" s="16"/>
      <c r="G27" s="16"/>
      <c r="H27" s="16"/>
      <c r="I27" s="16"/>
    </row>
    <row r="28" spans="1:34" x14ac:dyDescent="0.45">
      <c r="G28" s="16"/>
      <c r="H28" s="16"/>
      <c r="I28" s="16"/>
    </row>
    <row r="29" spans="1:34" x14ac:dyDescent="0.45">
      <c r="G29" s="16"/>
      <c r="H29" s="16"/>
      <c r="I29" s="16"/>
    </row>
    <row r="30" spans="1:34" x14ac:dyDescent="0.45">
      <c r="G30" s="16"/>
      <c r="H30" s="16"/>
      <c r="I30" s="17"/>
    </row>
    <row r="31" spans="1:34" x14ac:dyDescent="0.45">
      <c r="G31" s="16"/>
      <c r="H31" s="16"/>
      <c r="I31" s="16"/>
    </row>
    <row r="32" spans="1:34" x14ac:dyDescent="0.45">
      <c r="B32" s="7">
        <f>0</f>
        <v>0</v>
      </c>
      <c r="C32" s="7">
        <f>B32+1</f>
        <v>1</v>
      </c>
      <c r="D32" s="7">
        <f t="shared" ref="D32:M32" si="2">C32+1</f>
        <v>2</v>
      </c>
      <c r="E32" s="7">
        <f t="shared" si="2"/>
        <v>3</v>
      </c>
      <c r="F32" s="7">
        <f t="shared" si="2"/>
        <v>4</v>
      </c>
      <c r="G32" s="7">
        <f t="shared" si="2"/>
        <v>5</v>
      </c>
      <c r="H32" s="7">
        <f t="shared" si="2"/>
        <v>6</v>
      </c>
      <c r="I32" s="7">
        <f t="shared" si="2"/>
        <v>7</v>
      </c>
      <c r="J32" s="7">
        <f t="shared" si="2"/>
        <v>8</v>
      </c>
      <c r="K32" s="7">
        <f t="shared" si="2"/>
        <v>9</v>
      </c>
      <c r="L32" s="7">
        <f t="shared" si="2"/>
        <v>10</v>
      </c>
      <c r="M32" s="7">
        <f t="shared" si="2"/>
        <v>11</v>
      </c>
      <c r="N32" s="7">
        <f t="shared" ref="N32" si="3">M32+1</f>
        <v>12</v>
      </c>
      <c r="O32" s="7">
        <f t="shared" ref="O32" si="4">N32+1</f>
        <v>13</v>
      </c>
      <c r="P32" s="7">
        <f t="shared" ref="P32:Q32" si="5">O32+1</f>
        <v>14</v>
      </c>
      <c r="Q32" s="7">
        <f t="shared" si="5"/>
        <v>15</v>
      </c>
      <c r="R32" s="7">
        <f t="shared" ref="R32" si="6">Q32+1</f>
        <v>16</v>
      </c>
      <c r="S32" s="7">
        <f t="shared" ref="S32" si="7">R32+1</f>
        <v>17</v>
      </c>
      <c r="T32" s="7">
        <f t="shared" ref="T32" si="8">S32+1</f>
        <v>18</v>
      </c>
      <c r="U32" s="7">
        <f t="shared" ref="U32" si="9">T32+1</f>
        <v>19</v>
      </c>
      <c r="V32" s="7">
        <f t="shared" ref="V32" si="10">U32+1</f>
        <v>20</v>
      </c>
      <c r="W32" s="7">
        <f t="shared" ref="W32" si="11">V32+1</f>
        <v>21</v>
      </c>
      <c r="X32" s="7">
        <f t="shared" ref="X32" si="12">W32+1</f>
        <v>22</v>
      </c>
      <c r="Y32" s="7">
        <f t="shared" ref="Y32" si="13">X32+1</f>
        <v>23</v>
      </c>
      <c r="Z32" s="7">
        <f t="shared" ref="Z32" si="14">Y32+1</f>
        <v>24</v>
      </c>
      <c r="AA32" s="7">
        <f t="shared" ref="AA32" si="15">Z32+1</f>
        <v>25</v>
      </c>
      <c r="AB32" s="7">
        <f t="shared" ref="AB32" si="16">AA32+1</f>
        <v>26</v>
      </c>
      <c r="AC32" s="7">
        <f t="shared" ref="AC32" si="17">AB32+1</f>
        <v>27</v>
      </c>
      <c r="AD32" s="7">
        <f t="shared" ref="AD32" si="18">AC32+1</f>
        <v>28</v>
      </c>
      <c r="AE32" s="7">
        <f t="shared" ref="AE32" si="19">AD32+1</f>
        <v>29</v>
      </c>
      <c r="AF32" s="7">
        <f t="shared" ref="AF32" si="20">AE32+1</f>
        <v>30</v>
      </c>
      <c r="AG32" s="13"/>
    </row>
    <row r="33" spans="1:32" x14ac:dyDescent="0.45">
      <c r="A33" s="3" t="s">
        <v>6</v>
      </c>
      <c r="B33" s="2"/>
      <c r="C33" s="4">
        <f>B17*$B$7</f>
        <v>375623181.69999999</v>
      </c>
      <c r="D33" s="4">
        <f t="shared" ref="D33:AF33" si="21">25.93*$B$7</f>
        <v>149844755.40739998</v>
      </c>
      <c r="E33" s="4">
        <f t="shared" si="21"/>
        <v>149844755.40739998</v>
      </c>
      <c r="F33" s="4">
        <f t="shared" si="21"/>
        <v>149844755.40739998</v>
      </c>
      <c r="G33" s="4">
        <f t="shared" si="21"/>
        <v>149844755.40739998</v>
      </c>
      <c r="H33" s="4">
        <f t="shared" si="21"/>
        <v>149844755.40739998</v>
      </c>
      <c r="I33" s="4">
        <f t="shared" si="21"/>
        <v>149844755.40739998</v>
      </c>
      <c r="J33" s="4">
        <f t="shared" si="21"/>
        <v>149844755.40739998</v>
      </c>
      <c r="K33" s="4">
        <f t="shared" si="21"/>
        <v>149844755.40739998</v>
      </c>
      <c r="L33" s="4">
        <f t="shared" si="21"/>
        <v>149844755.40739998</v>
      </c>
      <c r="M33" s="4">
        <f t="shared" si="21"/>
        <v>149844755.40739998</v>
      </c>
      <c r="N33" s="4">
        <f t="shared" si="21"/>
        <v>149844755.40739998</v>
      </c>
      <c r="O33" s="4">
        <f t="shared" si="21"/>
        <v>149844755.40739998</v>
      </c>
      <c r="P33" s="4">
        <f t="shared" si="21"/>
        <v>149844755.40739998</v>
      </c>
      <c r="Q33" s="4">
        <f t="shared" si="21"/>
        <v>149844755.40739998</v>
      </c>
      <c r="R33" s="4">
        <f t="shared" si="21"/>
        <v>149844755.40739998</v>
      </c>
      <c r="S33" s="4">
        <f t="shared" si="21"/>
        <v>149844755.40739998</v>
      </c>
      <c r="T33" s="4">
        <f t="shared" si="21"/>
        <v>149844755.40739998</v>
      </c>
      <c r="U33" s="4">
        <f t="shared" si="21"/>
        <v>149844755.40739998</v>
      </c>
      <c r="V33" s="4">
        <f t="shared" si="21"/>
        <v>149844755.40739998</v>
      </c>
      <c r="W33" s="4">
        <f t="shared" si="21"/>
        <v>149844755.40739998</v>
      </c>
      <c r="X33" s="4">
        <f t="shared" si="21"/>
        <v>149844755.40739998</v>
      </c>
      <c r="Y33" s="4">
        <f t="shared" si="21"/>
        <v>149844755.40739998</v>
      </c>
      <c r="Z33" s="4">
        <f t="shared" si="21"/>
        <v>149844755.40739998</v>
      </c>
      <c r="AA33" s="4">
        <f t="shared" si="21"/>
        <v>149844755.40739998</v>
      </c>
      <c r="AB33" s="4">
        <f t="shared" si="21"/>
        <v>149844755.40739998</v>
      </c>
      <c r="AC33" s="4">
        <f t="shared" si="21"/>
        <v>149844755.40739998</v>
      </c>
      <c r="AD33" s="4">
        <f t="shared" si="21"/>
        <v>149844755.40739998</v>
      </c>
      <c r="AE33" s="4">
        <f t="shared" si="21"/>
        <v>149844755.40739998</v>
      </c>
      <c r="AF33" s="4">
        <f t="shared" si="21"/>
        <v>149844755.40739998</v>
      </c>
    </row>
    <row r="34" spans="1:32" x14ac:dyDescent="0.45">
      <c r="A34" t="s">
        <v>7</v>
      </c>
      <c r="C34" s="4">
        <f t="shared" ref="C34:AF34" si="22">$B$5*B11</f>
        <v>855900000</v>
      </c>
      <c r="D34" s="4">
        <f t="shared" si="22"/>
        <v>951750000</v>
      </c>
      <c r="E34" s="4">
        <f t="shared" si="22"/>
        <v>1066500000</v>
      </c>
      <c r="F34" s="4">
        <f t="shared" si="22"/>
        <v>1084500000</v>
      </c>
      <c r="G34" s="4">
        <f t="shared" si="22"/>
        <v>1084500000</v>
      </c>
      <c r="H34" s="4">
        <f t="shared" si="22"/>
        <v>1084500000</v>
      </c>
      <c r="I34" s="4">
        <f t="shared" si="22"/>
        <v>1084500000</v>
      </c>
      <c r="J34" s="4">
        <f t="shared" si="22"/>
        <v>1084500000</v>
      </c>
      <c r="K34" s="4">
        <f t="shared" si="22"/>
        <v>1084500000</v>
      </c>
      <c r="L34" s="4">
        <f t="shared" si="22"/>
        <v>1084500000</v>
      </c>
      <c r="M34" s="4">
        <f t="shared" si="22"/>
        <v>1084500000</v>
      </c>
      <c r="N34" s="4">
        <f t="shared" si="22"/>
        <v>1084500000</v>
      </c>
      <c r="O34" s="4">
        <f t="shared" si="22"/>
        <v>1084500000</v>
      </c>
      <c r="P34" s="4">
        <f t="shared" si="22"/>
        <v>1084500000</v>
      </c>
      <c r="Q34" s="4">
        <f t="shared" si="22"/>
        <v>1084500000</v>
      </c>
      <c r="R34" s="4">
        <f t="shared" si="22"/>
        <v>1084500000</v>
      </c>
      <c r="S34" s="4">
        <f t="shared" si="22"/>
        <v>1084500000</v>
      </c>
      <c r="T34" s="4">
        <f t="shared" si="22"/>
        <v>1084500000</v>
      </c>
      <c r="U34" s="4">
        <f t="shared" si="22"/>
        <v>1084500000</v>
      </c>
      <c r="V34" s="4">
        <f t="shared" si="22"/>
        <v>1084500000</v>
      </c>
      <c r="W34" s="4">
        <f t="shared" si="22"/>
        <v>1084500000</v>
      </c>
      <c r="X34" s="4">
        <f t="shared" si="22"/>
        <v>1084500000</v>
      </c>
      <c r="Y34" s="4">
        <f t="shared" si="22"/>
        <v>1084500000</v>
      </c>
      <c r="Z34" s="4">
        <f t="shared" si="22"/>
        <v>1084500000</v>
      </c>
      <c r="AA34" s="4">
        <f t="shared" si="22"/>
        <v>1084500000</v>
      </c>
      <c r="AB34" s="4">
        <f t="shared" si="22"/>
        <v>1084500000</v>
      </c>
      <c r="AC34" s="4">
        <f t="shared" si="22"/>
        <v>1084500000</v>
      </c>
      <c r="AD34" s="4">
        <f t="shared" si="22"/>
        <v>1084500000</v>
      </c>
      <c r="AE34" s="4">
        <f t="shared" si="22"/>
        <v>1088100000</v>
      </c>
      <c r="AF34" s="4">
        <f t="shared" si="22"/>
        <v>1131750000</v>
      </c>
    </row>
    <row r="35" spans="1:32" x14ac:dyDescent="0.45">
      <c r="A35" t="s">
        <v>42</v>
      </c>
      <c r="C35" s="4">
        <f t="shared" ref="C35:AF35" si="23">$B$6*B18</f>
        <v>22100000</v>
      </c>
      <c r="D35" s="4">
        <f t="shared" si="23"/>
        <v>22525000</v>
      </c>
      <c r="E35" s="4">
        <f t="shared" si="23"/>
        <v>22950000</v>
      </c>
      <c r="F35" s="4">
        <f t="shared" si="23"/>
        <v>23375000</v>
      </c>
      <c r="G35" s="4">
        <f t="shared" si="23"/>
        <v>23800000</v>
      </c>
      <c r="H35" s="4">
        <f t="shared" si="23"/>
        <v>24225000</v>
      </c>
      <c r="I35" s="4">
        <f t="shared" si="23"/>
        <v>24650000</v>
      </c>
      <c r="J35" s="4">
        <f t="shared" si="23"/>
        <v>25075000</v>
      </c>
      <c r="K35" s="4">
        <f t="shared" si="23"/>
        <v>25500000</v>
      </c>
      <c r="L35" s="4">
        <f t="shared" si="23"/>
        <v>25925000</v>
      </c>
      <c r="M35" s="4">
        <f t="shared" si="23"/>
        <v>26350000</v>
      </c>
      <c r="N35" s="4">
        <f t="shared" si="23"/>
        <v>26775000</v>
      </c>
      <c r="O35" s="4">
        <f t="shared" si="23"/>
        <v>27200000</v>
      </c>
      <c r="P35" s="4">
        <f t="shared" si="23"/>
        <v>27625000</v>
      </c>
      <c r="Q35" s="4">
        <f t="shared" si="23"/>
        <v>28050000</v>
      </c>
      <c r="R35" s="4">
        <f t="shared" si="23"/>
        <v>28475000</v>
      </c>
      <c r="S35" s="4">
        <f t="shared" si="23"/>
        <v>28475000</v>
      </c>
      <c r="T35" s="4">
        <f t="shared" si="23"/>
        <v>28475000</v>
      </c>
      <c r="U35" s="4">
        <f t="shared" si="23"/>
        <v>28475000</v>
      </c>
      <c r="V35" s="4">
        <f t="shared" si="23"/>
        <v>28475000</v>
      </c>
      <c r="W35" s="4">
        <f t="shared" si="23"/>
        <v>28475000</v>
      </c>
      <c r="X35" s="4">
        <f t="shared" si="23"/>
        <v>28475000</v>
      </c>
      <c r="Y35" s="4">
        <f t="shared" si="23"/>
        <v>28475000</v>
      </c>
      <c r="Z35" s="4">
        <f t="shared" si="23"/>
        <v>28475000</v>
      </c>
      <c r="AA35" s="4">
        <f t="shared" si="23"/>
        <v>28475000</v>
      </c>
      <c r="AB35" s="4">
        <f t="shared" si="23"/>
        <v>28475000</v>
      </c>
      <c r="AC35" s="4">
        <f t="shared" si="23"/>
        <v>28475000</v>
      </c>
      <c r="AD35" s="4">
        <f t="shared" si="23"/>
        <v>28475000</v>
      </c>
      <c r="AE35" s="4">
        <f t="shared" si="23"/>
        <v>28475000</v>
      </c>
      <c r="AF35" s="4">
        <f t="shared" si="23"/>
        <v>28475000</v>
      </c>
    </row>
    <row r="36" spans="1:32" x14ac:dyDescent="0.45">
      <c r="A36" t="s">
        <v>8</v>
      </c>
      <c r="C36" s="4">
        <f t="shared" ref="C36:AF36" si="24">-$B$4*B14</f>
        <v>-609696000</v>
      </c>
      <c r="D36" s="4">
        <f t="shared" si="24"/>
        <v>-565662400</v>
      </c>
      <c r="E36" s="4">
        <f t="shared" si="24"/>
        <v>-565662400</v>
      </c>
      <c r="F36" s="4">
        <f t="shared" si="24"/>
        <v>-565662400</v>
      </c>
      <c r="G36" s="4">
        <f t="shared" si="24"/>
        <v>-565662400</v>
      </c>
      <c r="H36" s="4">
        <f t="shared" si="24"/>
        <v>-558888000</v>
      </c>
      <c r="I36" s="4">
        <f t="shared" si="24"/>
        <v>-523792844.44444448</v>
      </c>
      <c r="J36" s="4">
        <f t="shared" si="24"/>
        <v>-518820619.47169816</v>
      </c>
      <c r="K36" s="4">
        <f t="shared" si="24"/>
        <v>-504692800.00000006</v>
      </c>
      <c r="L36" s="4">
        <f t="shared" si="24"/>
        <v>-489450400</v>
      </c>
      <c r="M36" s="4">
        <f t="shared" si="24"/>
        <v>-457272000</v>
      </c>
      <c r="N36" s="4">
        <f t="shared" si="24"/>
        <v>-461103291.22209412</v>
      </c>
      <c r="O36" s="4">
        <f t="shared" si="24"/>
        <v>-449104533.85819769</v>
      </c>
      <c r="P36" s="4">
        <f t="shared" si="24"/>
        <v>-432708031.88354611</v>
      </c>
      <c r="Q36" s="4">
        <f t="shared" si="24"/>
        <v>-415382299.67685068</v>
      </c>
      <c r="R36" s="4">
        <f t="shared" si="24"/>
        <v>-406464000</v>
      </c>
      <c r="S36" s="4">
        <f t="shared" si="24"/>
        <v>-406464000</v>
      </c>
      <c r="T36" s="4">
        <f t="shared" si="24"/>
        <v>-406464000</v>
      </c>
      <c r="U36" s="4">
        <f t="shared" si="24"/>
        <v>-406464000</v>
      </c>
      <c r="V36" s="4">
        <f t="shared" si="24"/>
        <v>-406464000</v>
      </c>
      <c r="W36" s="4">
        <f t="shared" si="24"/>
        <v>-406464000</v>
      </c>
      <c r="X36" s="4">
        <f t="shared" si="24"/>
        <v>-406464000</v>
      </c>
      <c r="Y36" s="4">
        <f t="shared" si="24"/>
        <v>-406464000</v>
      </c>
      <c r="Z36" s="4">
        <f t="shared" si="24"/>
        <v>-406464000</v>
      </c>
      <c r="AA36" s="4">
        <f t="shared" si="24"/>
        <v>-406464000</v>
      </c>
      <c r="AB36" s="4">
        <f t="shared" si="24"/>
        <v>-406464000</v>
      </c>
      <c r="AC36" s="4">
        <f t="shared" si="24"/>
        <v>-406464000</v>
      </c>
      <c r="AD36" s="4">
        <f t="shared" si="24"/>
        <v>-406464000</v>
      </c>
      <c r="AE36" s="4">
        <f t="shared" si="24"/>
        <v>-406464000</v>
      </c>
      <c r="AF36" s="4">
        <f t="shared" si="24"/>
        <v>-406464000</v>
      </c>
    </row>
    <row r="37" spans="1:32" x14ac:dyDescent="0.45">
      <c r="A37" t="s">
        <v>3</v>
      </c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45">
      <c r="A38" s="3" t="s">
        <v>9</v>
      </c>
      <c r="B38" s="3"/>
      <c r="C38" s="6">
        <f>SUM(C33:C37)</f>
        <v>643927181.70000005</v>
      </c>
      <c r="D38" s="6">
        <f t="shared" ref="D38:L38" si="25">SUM(D33:D37)</f>
        <v>558457355.40739989</v>
      </c>
      <c r="E38" s="6">
        <f t="shared" si="25"/>
        <v>673632355.40739989</v>
      </c>
      <c r="F38" s="6">
        <f t="shared" si="25"/>
        <v>692057355.40739989</v>
      </c>
      <c r="G38" s="6">
        <f t="shared" si="25"/>
        <v>692482355.40739989</v>
      </c>
      <c r="H38" s="6">
        <f t="shared" si="25"/>
        <v>699681755.40739989</v>
      </c>
      <c r="I38" s="6">
        <f t="shared" si="25"/>
        <v>735201910.96295547</v>
      </c>
      <c r="J38" s="6">
        <f t="shared" si="25"/>
        <v>740599135.93570173</v>
      </c>
      <c r="K38" s="6">
        <f t="shared" si="25"/>
        <v>755151955.40739989</v>
      </c>
      <c r="L38" s="6">
        <f t="shared" si="25"/>
        <v>770819355.40739989</v>
      </c>
      <c r="M38" s="6">
        <f t="shared" ref="M38:N38" si="26">SUM(M33:M37)</f>
        <v>803422755.40739989</v>
      </c>
      <c r="N38" s="6">
        <f t="shared" si="26"/>
        <v>800016464.18530583</v>
      </c>
      <c r="O38" s="6">
        <f t="shared" ref="O38:Q38" si="27">SUM(O33:O37)</f>
        <v>812440221.5492022</v>
      </c>
      <c r="P38" s="6">
        <f t="shared" si="27"/>
        <v>829261723.52385378</v>
      </c>
      <c r="Q38" s="6">
        <f t="shared" si="27"/>
        <v>847012455.73054922</v>
      </c>
      <c r="R38" s="6">
        <f t="shared" ref="R38:V38" si="28">SUM(R33:R37)</f>
        <v>856355755.40739989</v>
      </c>
      <c r="S38" s="6">
        <f t="shared" si="28"/>
        <v>856355755.40739989</v>
      </c>
      <c r="T38" s="6">
        <f t="shared" si="28"/>
        <v>856355755.40739989</v>
      </c>
      <c r="U38" s="6">
        <f t="shared" si="28"/>
        <v>856355755.40739989</v>
      </c>
      <c r="V38" s="6">
        <f t="shared" si="28"/>
        <v>856355755.40739989</v>
      </c>
      <c r="W38" s="6">
        <f t="shared" ref="W38:AF38" si="29">SUM(W33:W37)</f>
        <v>856355755.40739989</v>
      </c>
      <c r="X38" s="6">
        <f t="shared" si="29"/>
        <v>856355755.40739989</v>
      </c>
      <c r="Y38" s="6">
        <f t="shared" si="29"/>
        <v>856355755.40739989</v>
      </c>
      <c r="Z38" s="6">
        <f t="shared" si="29"/>
        <v>856355755.40739989</v>
      </c>
      <c r="AA38" s="6">
        <f t="shared" si="29"/>
        <v>856355755.40739989</v>
      </c>
      <c r="AB38" s="6">
        <f t="shared" si="29"/>
        <v>856355755.40739989</v>
      </c>
      <c r="AC38" s="6">
        <f t="shared" si="29"/>
        <v>856355755.40739989</v>
      </c>
      <c r="AD38" s="6">
        <f t="shared" si="29"/>
        <v>856355755.40739989</v>
      </c>
      <c r="AE38" s="6">
        <f t="shared" si="29"/>
        <v>859955755.40739989</v>
      </c>
      <c r="AF38" s="6">
        <f t="shared" si="29"/>
        <v>903605755.40739989</v>
      </c>
    </row>
    <row r="39" spans="1:32" x14ac:dyDescent="0.45">
      <c r="A39" s="45" t="s">
        <v>45</v>
      </c>
      <c r="B39" s="44">
        <v>520000000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</row>
    <row r="40" spans="1:32" x14ac:dyDescent="0.45">
      <c r="A40" t="s">
        <v>5</v>
      </c>
      <c r="B40" s="4">
        <f>-B22</f>
        <v>-8100000000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x14ac:dyDescent="0.45">
      <c r="A41" s="3" t="s">
        <v>12</v>
      </c>
      <c r="B41" s="6">
        <f>SUM(B38:B40)</f>
        <v>-7580000000</v>
      </c>
      <c r="C41" s="6">
        <f>SUM(C38:C40)</f>
        <v>643927181.70000005</v>
      </c>
      <c r="D41" s="6">
        <f t="shared" ref="D41:L41" si="30">SUM(D38:D40)</f>
        <v>558457355.40739989</v>
      </c>
      <c r="E41" s="6">
        <f t="shared" si="30"/>
        <v>673632355.40739989</v>
      </c>
      <c r="F41" s="6">
        <f t="shared" si="30"/>
        <v>692057355.40739989</v>
      </c>
      <c r="G41" s="6">
        <f t="shared" si="30"/>
        <v>692482355.40739989</v>
      </c>
      <c r="H41" s="6">
        <f t="shared" si="30"/>
        <v>699681755.40739989</v>
      </c>
      <c r="I41" s="6">
        <f t="shared" si="30"/>
        <v>735201910.96295547</v>
      </c>
      <c r="J41" s="6">
        <f t="shared" si="30"/>
        <v>740599135.93570173</v>
      </c>
      <c r="K41" s="6">
        <f t="shared" si="30"/>
        <v>755151955.40739989</v>
      </c>
      <c r="L41" s="6">
        <f t="shared" si="30"/>
        <v>770819355.40739989</v>
      </c>
      <c r="M41" s="6">
        <f t="shared" ref="M41:N41" si="31">SUM(M38:M40)</f>
        <v>803422755.40739989</v>
      </c>
      <c r="N41" s="6">
        <f t="shared" si="31"/>
        <v>800016464.18530583</v>
      </c>
      <c r="O41" s="6">
        <f t="shared" ref="O41:Q41" si="32">SUM(O38:O40)</f>
        <v>812440221.5492022</v>
      </c>
      <c r="P41" s="6">
        <f t="shared" si="32"/>
        <v>829261723.52385378</v>
      </c>
      <c r="Q41" s="6">
        <f t="shared" si="32"/>
        <v>847012455.73054922</v>
      </c>
      <c r="R41" s="6">
        <f t="shared" ref="R41:V41" si="33">SUM(R38:R40)</f>
        <v>856355755.40739989</v>
      </c>
      <c r="S41" s="6">
        <f t="shared" si="33"/>
        <v>856355755.40739989</v>
      </c>
      <c r="T41" s="6">
        <f t="shared" si="33"/>
        <v>856355755.40739989</v>
      </c>
      <c r="U41" s="6">
        <f t="shared" si="33"/>
        <v>856355755.40739989</v>
      </c>
      <c r="V41" s="6">
        <f t="shared" si="33"/>
        <v>856355755.40739989</v>
      </c>
      <c r="W41" s="6">
        <f t="shared" ref="W41:AF41" si="34">SUM(W38:W40)</f>
        <v>856355755.40739989</v>
      </c>
      <c r="X41" s="6">
        <f t="shared" si="34"/>
        <v>856355755.40739989</v>
      </c>
      <c r="Y41" s="6">
        <f t="shared" si="34"/>
        <v>856355755.40739989</v>
      </c>
      <c r="Z41" s="6">
        <f t="shared" si="34"/>
        <v>856355755.40739989</v>
      </c>
      <c r="AA41" s="6">
        <f t="shared" si="34"/>
        <v>856355755.40739989</v>
      </c>
      <c r="AB41" s="6">
        <f t="shared" si="34"/>
        <v>856355755.40739989</v>
      </c>
      <c r="AC41" s="6">
        <f t="shared" si="34"/>
        <v>856355755.40739989</v>
      </c>
      <c r="AD41" s="6">
        <f t="shared" si="34"/>
        <v>856355755.40739989</v>
      </c>
      <c r="AE41" s="6">
        <f t="shared" si="34"/>
        <v>859955755.40739989</v>
      </c>
      <c r="AF41" s="6">
        <f t="shared" si="34"/>
        <v>903605755.40739989</v>
      </c>
    </row>
    <row r="42" spans="1:32" x14ac:dyDescent="0.45">
      <c r="A42" t="s">
        <v>34</v>
      </c>
      <c r="C42" s="4">
        <f>C41</f>
        <v>643927181.70000005</v>
      </c>
      <c r="D42" s="4">
        <f>C42+D41</f>
        <v>1202384537.1073999</v>
      </c>
      <c r="E42" s="4">
        <f>D42+E41</f>
        <v>1876016892.5147998</v>
      </c>
      <c r="F42" s="4">
        <f t="shared" ref="F42:AF42" si="35">E42+F41</f>
        <v>2568074247.9221997</v>
      </c>
      <c r="G42" s="4">
        <f t="shared" si="35"/>
        <v>3260556603.3295994</v>
      </c>
      <c r="H42" s="4">
        <f t="shared" si="35"/>
        <v>3960238358.7369995</v>
      </c>
      <c r="I42" s="4">
        <f t="shared" si="35"/>
        <v>4695440269.699955</v>
      </c>
      <c r="J42" s="4">
        <f t="shared" si="35"/>
        <v>5436039405.6356564</v>
      </c>
      <c r="K42" s="4">
        <f t="shared" si="35"/>
        <v>6191191361.0430565</v>
      </c>
      <c r="L42" s="4">
        <f t="shared" si="35"/>
        <v>6962010716.4504566</v>
      </c>
      <c r="M42" s="4">
        <f t="shared" si="35"/>
        <v>7765433471.8578568</v>
      </c>
      <c r="N42" s="4">
        <f t="shared" si="35"/>
        <v>8565449936.0431623</v>
      </c>
      <c r="O42" s="4">
        <f t="shared" si="35"/>
        <v>9377890157.5923653</v>
      </c>
      <c r="P42" s="4">
        <f t="shared" si="35"/>
        <v>10207151881.116219</v>
      </c>
      <c r="Q42" s="4">
        <f t="shared" si="35"/>
        <v>11054164336.846767</v>
      </c>
      <c r="R42" s="4">
        <f t="shared" si="35"/>
        <v>11910520092.254168</v>
      </c>
      <c r="S42" s="4">
        <f t="shared" si="35"/>
        <v>12766875847.661568</v>
      </c>
      <c r="T42" s="4">
        <f t="shared" si="35"/>
        <v>13623231603.068968</v>
      </c>
      <c r="U42" s="4">
        <f t="shared" si="35"/>
        <v>14479587358.476368</v>
      </c>
      <c r="V42" s="4">
        <f t="shared" si="35"/>
        <v>15335943113.883768</v>
      </c>
      <c r="W42" s="4">
        <f t="shared" si="35"/>
        <v>16192298869.291168</v>
      </c>
      <c r="X42" s="4">
        <f t="shared" si="35"/>
        <v>17048654624.698568</v>
      </c>
      <c r="Y42" s="4">
        <f t="shared" si="35"/>
        <v>17905010380.105968</v>
      </c>
      <c r="Z42" s="4">
        <f t="shared" si="35"/>
        <v>18761366135.513367</v>
      </c>
      <c r="AA42" s="4">
        <f t="shared" si="35"/>
        <v>19617721890.920765</v>
      </c>
      <c r="AB42" s="4">
        <f t="shared" si="35"/>
        <v>20474077646.328163</v>
      </c>
      <c r="AC42" s="4">
        <f t="shared" si="35"/>
        <v>21330433401.735561</v>
      </c>
      <c r="AD42" s="4">
        <f t="shared" si="35"/>
        <v>22186789157.14296</v>
      </c>
      <c r="AE42" s="4">
        <f t="shared" si="35"/>
        <v>23046744912.550358</v>
      </c>
      <c r="AF42" s="4">
        <f t="shared" si="35"/>
        <v>23950350667.957756</v>
      </c>
    </row>
    <row r="44" spans="1:32" x14ac:dyDescent="0.45">
      <c r="A44" t="s">
        <v>10</v>
      </c>
      <c r="B44" s="11">
        <f>NPV(E2,C41:AF41)+B41</f>
        <v>5780454203.5973263</v>
      </c>
    </row>
    <row r="45" spans="1:32" x14ac:dyDescent="0.45">
      <c r="A45" t="s">
        <v>13</v>
      </c>
      <c r="B45" s="31">
        <f>IRR(B41:AF41)</f>
        <v>9.0631256709380992E-2</v>
      </c>
      <c r="D45" s="16"/>
      <c r="E45" s="16"/>
    </row>
    <row r="46" spans="1:32" x14ac:dyDescent="0.45">
      <c r="A46" t="s">
        <v>46</v>
      </c>
      <c r="B46" s="32">
        <f>(-B41-L42)/M41+L32</f>
        <v>10.769195643750685</v>
      </c>
    </row>
    <row r="50" spans="1:5" x14ac:dyDescent="0.45">
      <c r="A50" s="15"/>
      <c r="B50" s="16"/>
      <c r="D50" s="16"/>
      <c r="E50" s="16"/>
    </row>
    <row r="51" spans="1:5" x14ac:dyDescent="0.45">
      <c r="A51" s="15"/>
      <c r="B51" s="16"/>
      <c r="D51" s="16"/>
      <c r="E51" s="16"/>
    </row>
    <row r="52" spans="1:5" x14ac:dyDescent="0.45">
      <c r="A52" s="15"/>
      <c r="B52" s="28"/>
      <c r="D52" s="16"/>
      <c r="E52" s="16"/>
    </row>
    <row r="53" spans="1:5" x14ac:dyDescent="0.45">
      <c r="A53" s="15"/>
      <c r="B53" s="16"/>
      <c r="D53" s="16"/>
      <c r="E53" s="16"/>
    </row>
    <row r="54" spans="1:5" x14ac:dyDescent="0.45">
      <c r="A54" s="15"/>
      <c r="B54" s="16"/>
      <c r="D54" s="16"/>
      <c r="E54" s="16"/>
    </row>
    <row r="55" spans="1:5" x14ac:dyDescent="0.45">
      <c r="A55" s="15"/>
      <c r="B55" s="16"/>
      <c r="D55" s="16"/>
      <c r="E55" s="16"/>
    </row>
    <row r="56" spans="1:5" x14ac:dyDescent="0.45">
      <c r="A56" s="15"/>
      <c r="B56" s="16"/>
      <c r="D56" s="16"/>
      <c r="E56" s="16"/>
    </row>
    <row r="57" spans="1:5" x14ac:dyDescent="0.45">
      <c r="A57" s="15"/>
      <c r="B57" s="16"/>
      <c r="D57" s="16"/>
      <c r="E57" s="16"/>
    </row>
    <row r="58" spans="1:5" x14ac:dyDescent="0.45">
      <c r="A58" s="15"/>
      <c r="B58" s="16"/>
      <c r="D58" s="16"/>
      <c r="E58" s="17"/>
    </row>
    <row r="59" spans="1:5" x14ac:dyDescent="0.45">
      <c r="A59" s="15"/>
      <c r="B59" s="16"/>
      <c r="D59" s="16"/>
      <c r="E59" s="16"/>
    </row>
    <row r="60" spans="1:5" x14ac:dyDescent="0.45">
      <c r="A60" s="15"/>
      <c r="B60" s="16"/>
      <c r="D60" s="16"/>
      <c r="E60" s="16"/>
    </row>
    <row r="61" spans="1:5" x14ac:dyDescent="0.45">
      <c r="A61" s="15"/>
      <c r="B61" s="16"/>
      <c r="D61" s="16"/>
      <c r="E61" s="16"/>
    </row>
    <row r="62" spans="1:5" x14ac:dyDescent="0.45">
      <c r="A62" s="15"/>
      <c r="B62" s="16"/>
      <c r="D62" s="16"/>
      <c r="E62" s="16"/>
    </row>
    <row r="63" spans="1:5" x14ac:dyDescent="0.45">
      <c r="A63" s="15"/>
      <c r="B63" s="16"/>
      <c r="D63" s="16"/>
      <c r="E63" s="16"/>
    </row>
    <row r="64" spans="1:5" x14ac:dyDescent="0.45">
      <c r="A64" s="15"/>
      <c r="B64" s="16"/>
      <c r="D64" s="16"/>
      <c r="E64" s="16"/>
    </row>
    <row r="65" spans="1:5" x14ac:dyDescent="0.45">
      <c r="A65" s="15"/>
      <c r="B65" s="16"/>
      <c r="D65" s="16"/>
      <c r="E65" s="16"/>
    </row>
    <row r="66" spans="1:5" x14ac:dyDescent="0.45">
      <c r="A66" s="15"/>
      <c r="B66" s="16"/>
      <c r="D66" s="16"/>
      <c r="E66" s="16"/>
    </row>
    <row r="67" spans="1:5" x14ac:dyDescent="0.45">
      <c r="A67" s="15"/>
      <c r="B67" s="16"/>
      <c r="D67" s="16"/>
      <c r="E67" s="16"/>
    </row>
    <row r="68" spans="1:5" x14ac:dyDescent="0.45">
      <c r="A68" s="15"/>
      <c r="B68" s="16"/>
      <c r="D68" s="16"/>
      <c r="E68" s="17"/>
    </row>
    <row r="69" spans="1:5" x14ac:dyDescent="0.45">
      <c r="A69" s="15"/>
      <c r="B69" s="16"/>
      <c r="D69" s="16"/>
      <c r="E69" s="16"/>
    </row>
    <row r="70" spans="1:5" x14ac:dyDescent="0.45">
      <c r="A70" s="15"/>
      <c r="B70" s="16"/>
      <c r="D70" s="16"/>
      <c r="E70" s="16"/>
    </row>
    <row r="71" spans="1:5" x14ac:dyDescent="0.45">
      <c r="A71" s="15"/>
      <c r="B71" s="16"/>
      <c r="D71" s="16"/>
      <c r="E71" s="16"/>
    </row>
    <row r="72" spans="1:5" x14ac:dyDescent="0.45">
      <c r="A72" s="15"/>
      <c r="B72" s="16"/>
      <c r="D72" s="16"/>
      <c r="E7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7BBC-8FD0-4CCD-8F39-4098B883E161}">
  <dimension ref="A1:B14"/>
  <sheetViews>
    <sheetView zoomScale="87" workbookViewId="0">
      <selection activeCell="B6" sqref="B6"/>
    </sheetView>
  </sheetViews>
  <sheetFormatPr baseColWidth="10" defaultRowHeight="14.25" x14ac:dyDescent="0.45"/>
  <cols>
    <col min="1" max="1" width="37.19921875" customWidth="1"/>
    <col min="2" max="2" width="20.59765625" customWidth="1"/>
    <col min="3" max="3" width="17.9296875" customWidth="1"/>
    <col min="4" max="10" width="10.6640625" customWidth="1"/>
  </cols>
  <sheetData>
    <row r="1" spans="1:2" ht="18" x14ac:dyDescent="0.55000000000000004">
      <c r="A1" s="1" t="s">
        <v>22</v>
      </c>
    </row>
    <row r="3" spans="1:2" x14ac:dyDescent="0.45">
      <c r="A3" t="s">
        <v>20</v>
      </c>
      <c r="B3" s="25">
        <v>0.04</v>
      </c>
    </row>
    <row r="4" spans="1:2" x14ac:dyDescent="0.45">
      <c r="A4" t="s">
        <v>19</v>
      </c>
      <c r="B4" s="4">
        <v>8100000000</v>
      </c>
    </row>
    <row r="5" spans="1:2" x14ac:dyDescent="0.45">
      <c r="A5" t="s">
        <v>21</v>
      </c>
      <c r="B5" s="4">
        <v>762120000</v>
      </c>
    </row>
    <row r="6" spans="1:2" x14ac:dyDescent="0.45">
      <c r="A6" t="s">
        <v>26</v>
      </c>
      <c r="B6" s="26">
        <v>450000</v>
      </c>
    </row>
    <row r="7" spans="1:2" x14ac:dyDescent="0.45">
      <c r="A7" t="s">
        <v>17</v>
      </c>
      <c r="B7" s="5">
        <v>30</v>
      </c>
    </row>
    <row r="10" spans="1:2" x14ac:dyDescent="0.45">
      <c r="A10" s="24" t="s">
        <v>23</v>
      </c>
      <c r="B10" s="27">
        <f>PV(B3,B7,-B5)</f>
        <v>13178604419.102423</v>
      </c>
    </row>
    <row r="11" spans="1:2" x14ac:dyDescent="0.45">
      <c r="A11" s="24" t="s">
        <v>24</v>
      </c>
      <c r="B11" s="27">
        <f>B10+B4</f>
        <v>21278604419.102425</v>
      </c>
    </row>
    <row r="13" spans="1:2" x14ac:dyDescent="0.45">
      <c r="A13" t="s">
        <v>25</v>
      </c>
      <c r="B13" s="27">
        <f>B11/(B6*B7)</f>
        <v>1576.1929199335129</v>
      </c>
    </row>
    <row r="14" spans="1:2" x14ac:dyDescent="0.45">
      <c r="A14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21E-058F-482D-A8A2-6B9883F2C100}">
  <dimension ref="A1:C31"/>
  <sheetViews>
    <sheetView zoomScaleNormal="100" workbookViewId="0">
      <selection activeCell="B27" sqref="B27"/>
    </sheetView>
  </sheetViews>
  <sheetFormatPr baseColWidth="10" defaultRowHeight="14.25" x14ac:dyDescent="0.45"/>
  <cols>
    <col min="2" max="2" width="13.265625" bestFit="1" customWidth="1"/>
  </cols>
  <sheetData>
    <row r="1" spans="1:3" x14ac:dyDescent="0.45">
      <c r="A1" s="30" t="s">
        <v>17</v>
      </c>
      <c r="B1" s="30" t="s">
        <v>40</v>
      </c>
    </row>
    <row r="2" spans="1:3" x14ac:dyDescent="0.45">
      <c r="A2" s="5">
        <v>1</v>
      </c>
      <c r="B2" s="42">
        <v>0.6</v>
      </c>
      <c r="C2" s="28"/>
    </row>
    <row r="3" spans="1:3" x14ac:dyDescent="0.45">
      <c r="A3" s="5">
        <v>2</v>
      </c>
      <c r="B3" s="28">
        <v>0.55666666666666664</v>
      </c>
      <c r="C3" s="28"/>
    </row>
    <row r="4" spans="1:3" x14ac:dyDescent="0.45">
      <c r="A4" s="5">
        <v>3</v>
      </c>
      <c r="B4" s="28">
        <v>0.55666666666666664</v>
      </c>
      <c r="C4" s="28"/>
    </row>
    <row r="5" spans="1:3" x14ac:dyDescent="0.45">
      <c r="A5" s="5">
        <v>4</v>
      </c>
      <c r="B5" s="28">
        <v>0.55666666666666664</v>
      </c>
      <c r="C5" s="28"/>
    </row>
    <row r="6" spans="1:3" x14ac:dyDescent="0.45">
      <c r="A6" s="5">
        <v>5</v>
      </c>
      <c r="B6" s="28">
        <v>0.55666666666666664</v>
      </c>
      <c r="C6" s="28"/>
    </row>
    <row r="7" spans="1:3" x14ac:dyDescent="0.45">
      <c r="A7" s="5">
        <v>6</v>
      </c>
      <c r="B7" s="28">
        <v>0.55000000000000004</v>
      </c>
      <c r="C7" s="28"/>
    </row>
    <row r="8" spans="1:3" x14ac:dyDescent="0.45">
      <c r="A8" s="5">
        <v>7</v>
      </c>
      <c r="B8" s="28">
        <v>0.51546296296296301</v>
      </c>
      <c r="C8" s="28"/>
    </row>
    <row r="9" spans="1:3" x14ac:dyDescent="0.45">
      <c r="A9" s="5">
        <v>8</v>
      </c>
      <c r="B9" s="28">
        <v>0.51056981132075474</v>
      </c>
      <c r="C9" s="28"/>
    </row>
    <row r="10" spans="1:3" x14ac:dyDescent="0.45">
      <c r="A10" s="5">
        <v>9</v>
      </c>
      <c r="B10" s="28">
        <v>0.4966666666666667</v>
      </c>
      <c r="C10" s="28"/>
    </row>
    <row r="11" spans="1:3" x14ac:dyDescent="0.45">
      <c r="A11" s="5">
        <v>10</v>
      </c>
      <c r="B11" s="28">
        <v>0.48166666666666669</v>
      </c>
      <c r="C11" s="28"/>
    </row>
    <row r="12" spans="1:3" x14ac:dyDescent="0.45">
      <c r="A12" s="5">
        <v>11</v>
      </c>
      <c r="B12" s="42">
        <v>0.45</v>
      </c>
      <c r="C12" s="28"/>
    </row>
    <row r="13" spans="1:3" x14ac:dyDescent="0.45">
      <c r="A13" s="5">
        <v>12</v>
      </c>
      <c r="B13" s="28">
        <v>0.453770362169436</v>
      </c>
      <c r="C13" s="28"/>
    </row>
    <row r="14" spans="1:3" x14ac:dyDescent="0.45">
      <c r="A14" s="5">
        <v>13</v>
      </c>
      <c r="B14" s="28">
        <v>0.44196242113269335</v>
      </c>
      <c r="C14" s="28"/>
    </row>
    <row r="15" spans="1:3" x14ac:dyDescent="0.45">
      <c r="A15" s="5">
        <v>14</v>
      </c>
      <c r="B15" s="28">
        <v>0.42582667285028553</v>
      </c>
      <c r="C15" s="28"/>
    </row>
    <row r="16" spans="1:3" x14ac:dyDescent="0.45">
      <c r="A16" s="5">
        <v>15</v>
      </c>
      <c r="B16" s="28">
        <v>0.40877647189109068</v>
      </c>
    </row>
    <row r="17" spans="1:2" x14ac:dyDescent="0.45">
      <c r="A17" s="5">
        <v>16</v>
      </c>
      <c r="B17" s="42">
        <v>0.4</v>
      </c>
    </row>
    <row r="18" spans="1:2" x14ac:dyDescent="0.45">
      <c r="A18" s="5">
        <v>17</v>
      </c>
      <c r="B18" s="28">
        <v>0.4</v>
      </c>
    </row>
    <row r="19" spans="1:2" x14ac:dyDescent="0.45">
      <c r="A19" s="5">
        <v>18</v>
      </c>
      <c r="B19" s="28">
        <v>0.4</v>
      </c>
    </row>
    <row r="20" spans="1:2" x14ac:dyDescent="0.45">
      <c r="A20" s="5">
        <v>19</v>
      </c>
      <c r="B20" s="28">
        <v>0.4</v>
      </c>
    </row>
    <row r="21" spans="1:2" x14ac:dyDescent="0.45">
      <c r="A21" s="5">
        <v>20</v>
      </c>
      <c r="B21" s="28">
        <v>0.4</v>
      </c>
    </row>
    <row r="22" spans="1:2" x14ac:dyDescent="0.45">
      <c r="A22" s="5">
        <v>21</v>
      </c>
      <c r="B22" s="28">
        <v>0.4</v>
      </c>
    </row>
    <row r="23" spans="1:2" x14ac:dyDescent="0.45">
      <c r="A23" s="5">
        <v>22</v>
      </c>
      <c r="B23" s="28">
        <v>0.4</v>
      </c>
    </row>
    <row r="24" spans="1:2" x14ac:dyDescent="0.45">
      <c r="A24" s="5">
        <v>23</v>
      </c>
      <c r="B24" s="28">
        <v>0.4</v>
      </c>
    </row>
    <row r="25" spans="1:2" x14ac:dyDescent="0.45">
      <c r="A25" s="5">
        <v>24</v>
      </c>
      <c r="B25" s="28">
        <v>0.4</v>
      </c>
    </row>
    <row r="26" spans="1:2" x14ac:dyDescent="0.45">
      <c r="A26" s="5">
        <v>25</v>
      </c>
      <c r="B26" s="28">
        <v>0.4</v>
      </c>
    </row>
    <row r="27" spans="1:2" x14ac:dyDescent="0.45">
      <c r="A27" s="5">
        <v>26</v>
      </c>
      <c r="B27" s="42">
        <v>0.4</v>
      </c>
    </row>
    <row r="28" spans="1:2" x14ac:dyDescent="0.45">
      <c r="A28" s="5">
        <v>27</v>
      </c>
      <c r="B28" s="28">
        <v>0.4</v>
      </c>
    </row>
    <row r="29" spans="1:2" x14ac:dyDescent="0.45">
      <c r="A29" s="5">
        <v>28</v>
      </c>
      <c r="B29" s="28">
        <v>0.4</v>
      </c>
    </row>
    <row r="30" spans="1:2" x14ac:dyDescent="0.45">
      <c r="A30" s="5">
        <v>29</v>
      </c>
      <c r="B30" s="28">
        <v>0.4</v>
      </c>
    </row>
    <row r="31" spans="1:2" x14ac:dyDescent="0.45">
      <c r="A31" s="5">
        <v>30</v>
      </c>
      <c r="B31" s="28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9A21-A848-42A9-8F74-BAC8A0ED050A}">
  <dimension ref="A1:B31"/>
  <sheetViews>
    <sheetView workbookViewId="0">
      <selection activeCell="B27" sqref="B27"/>
    </sheetView>
  </sheetViews>
  <sheetFormatPr baseColWidth="10" defaultRowHeight="14.25" x14ac:dyDescent="0.45"/>
  <sheetData>
    <row r="1" spans="1:2" x14ac:dyDescent="0.45">
      <c r="A1" s="30" t="s">
        <v>17</v>
      </c>
      <c r="B1" s="30" t="s">
        <v>41</v>
      </c>
    </row>
    <row r="2" spans="1:2" x14ac:dyDescent="0.45">
      <c r="A2" s="5">
        <f>1</f>
        <v>1</v>
      </c>
    </row>
    <row r="3" spans="1:2" x14ac:dyDescent="0.45">
      <c r="A3" s="5">
        <f>A2+1</f>
        <v>2</v>
      </c>
    </row>
    <row r="4" spans="1:2" x14ac:dyDescent="0.45">
      <c r="A4" s="5">
        <f t="shared" ref="A4:A31" si="0">A3+1</f>
        <v>3</v>
      </c>
    </row>
    <row r="5" spans="1:2" x14ac:dyDescent="0.45">
      <c r="A5" s="5">
        <f t="shared" si="0"/>
        <v>4</v>
      </c>
    </row>
    <row r="6" spans="1:2" x14ac:dyDescent="0.45">
      <c r="A6" s="5">
        <f t="shared" si="0"/>
        <v>5</v>
      </c>
    </row>
    <row r="7" spans="1:2" x14ac:dyDescent="0.45">
      <c r="A7" s="5">
        <f t="shared" si="0"/>
        <v>6</v>
      </c>
      <c r="B7" s="43">
        <v>65</v>
      </c>
    </row>
    <row r="8" spans="1:2" x14ac:dyDescent="0.45">
      <c r="A8" s="5">
        <f t="shared" si="0"/>
        <v>7</v>
      </c>
    </row>
    <row r="9" spans="1:2" x14ac:dyDescent="0.45">
      <c r="A9" s="5">
        <f t="shared" si="0"/>
        <v>8</v>
      </c>
    </row>
    <row r="10" spans="1:2" x14ac:dyDescent="0.45">
      <c r="A10" s="5">
        <f t="shared" si="0"/>
        <v>9</v>
      </c>
    </row>
    <row r="11" spans="1:2" x14ac:dyDescent="0.45">
      <c r="A11" s="5">
        <f t="shared" si="0"/>
        <v>10</v>
      </c>
    </row>
    <row r="12" spans="1:2" x14ac:dyDescent="0.45">
      <c r="A12" s="5">
        <f t="shared" si="0"/>
        <v>11</v>
      </c>
      <c r="B12" s="43">
        <v>65</v>
      </c>
    </row>
    <row r="13" spans="1:2" x14ac:dyDescent="0.45">
      <c r="A13" s="5">
        <f t="shared" si="0"/>
        <v>12</v>
      </c>
    </row>
    <row r="14" spans="1:2" x14ac:dyDescent="0.45">
      <c r="A14" s="5">
        <f t="shared" si="0"/>
        <v>13</v>
      </c>
    </row>
    <row r="15" spans="1:2" x14ac:dyDescent="0.45">
      <c r="A15" s="5">
        <f t="shared" si="0"/>
        <v>14</v>
      </c>
    </row>
    <row r="16" spans="1:2" x14ac:dyDescent="0.45">
      <c r="A16" s="5">
        <f t="shared" si="0"/>
        <v>15</v>
      </c>
    </row>
    <row r="17" spans="1:2" x14ac:dyDescent="0.45">
      <c r="A17" s="5">
        <f t="shared" si="0"/>
        <v>16</v>
      </c>
    </row>
    <row r="18" spans="1:2" x14ac:dyDescent="0.45">
      <c r="A18" s="5">
        <f t="shared" si="0"/>
        <v>17</v>
      </c>
    </row>
    <row r="19" spans="1:2" x14ac:dyDescent="0.45">
      <c r="A19" s="5">
        <f t="shared" si="0"/>
        <v>18</v>
      </c>
    </row>
    <row r="20" spans="1:2" x14ac:dyDescent="0.45">
      <c r="A20" s="5">
        <f t="shared" si="0"/>
        <v>19</v>
      </c>
    </row>
    <row r="21" spans="1:2" x14ac:dyDescent="0.45">
      <c r="A21" s="5">
        <f t="shared" si="0"/>
        <v>20</v>
      </c>
    </row>
    <row r="22" spans="1:2" x14ac:dyDescent="0.45">
      <c r="A22" s="5">
        <f t="shared" si="0"/>
        <v>21</v>
      </c>
    </row>
    <row r="23" spans="1:2" x14ac:dyDescent="0.45">
      <c r="A23" s="5">
        <f t="shared" si="0"/>
        <v>22</v>
      </c>
    </row>
    <row r="24" spans="1:2" x14ac:dyDescent="0.45">
      <c r="A24" s="5">
        <f t="shared" si="0"/>
        <v>23</v>
      </c>
    </row>
    <row r="25" spans="1:2" x14ac:dyDescent="0.45">
      <c r="A25" s="5">
        <f t="shared" si="0"/>
        <v>24</v>
      </c>
    </row>
    <row r="26" spans="1:2" x14ac:dyDescent="0.45">
      <c r="A26" s="5">
        <f t="shared" si="0"/>
        <v>25</v>
      </c>
    </row>
    <row r="27" spans="1:2" x14ac:dyDescent="0.45">
      <c r="A27" s="5">
        <f t="shared" si="0"/>
        <v>26</v>
      </c>
      <c r="B27" s="43">
        <v>75</v>
      </c>
    </row>
    <row r="28" spans="1:2" x14ac:dyDescent="0.45">
      <c r="A28" s="5">
        <f t="shared" si="0"/>
        <v>27</v>
      </c>
    </row>
    <row r="29" spans="1:2" x14ac:dyDescent="0.45">
      <c r="A29" s="5">
        <f t="shared" si="0"/>
        <v>28</v>
      </c>
    </row>
    <row r="30" spans="1:2" x14ac:dyDescent="0.45">
      <c r="A30" s="5">
        <f t="shared" si="0"/>
        <v>29</v>
      </c>
    </row>
    <row r="31" spans="1:2" x14ac:dyDescent="0.45">
      <c r="A31" s="5">
        <f t="shared" si="0"/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417E-D27D-4B4F-8D6E-CB834DBE5103}">
  <dimension ref="A1:B38"/>
  <sheetViews>
    <sheetView workbookViewId="0">
      <selection activeCell="F5" sqref="F5"/>
    </sheetView>
  </sheetViews>
  <sheetFormatPr baseColWidth="10" defaultRowHeight="14.25" x14ac:dyDescent="0.45"/>
  <cols>
    <col min="2" max="2" width="11.265625" bestFit="1" customWidth="1"/>
  </cols>
  <sheetData>
    <row r="1" spans="1:2" x14ac:dyDescent="0.45">
      <c r="A1" s="30" t="s">
        <v>43</v>
      </c>
      <c r="B1" s="22" t="s">
        <v>44</v>
      </c>
    </row>
    <row r="2" spans="1:2" x14ac:dyDescent="0.45">
      <c r="A2" s="5">
        <f>2018</f>
        <v>2018</v>
      </c>
      <c r="B2" s="43">
        <v>21.94</v>
      </c>
    </row>
    <row r="3" spans="1:2" x14ac:dyDescent="0.45">
      <c r="A3" s="5">
        <f>A2+1</f>
        <v>2019</v>
      </c>
      <c r="B3" s="43">
        <v>22.27</v>
      </c>
    </row>
    <row r="4" spans="1:2" x14ac:dyDescent="0.45">
      <c r="A4" s="5">
        <f>A3+1</f>
        <v>2020</v>
      </c>
      <c r="B4" s="43">
        <v>22.69</v>
      </c>
    </row>
    <row r="5" spans="1:2" x14ac:dyDescent="0.45">
      <c r="A5" s="5">
        <f>A4+1</f>
        <v>2021</v>
      </c>
      <c r="B5" s="43">
        <v>23.48</v>
      </c>
    </row>
    <row r="6" spans="1:2" x14ac:dyDescent="0.45">
      <c r="A6" s="5">
        <f>A5+1</f>
        <v>2022</v>
      </c>
      <c r="B6" s="43">
        <v>23.79</v>
      </c>
    </row>
    <row r="7" spans="1:2" x14ac:dyDescent="0.45">
      <c r="A7" s="5">
        <f>A6+1</f>
        <v>2023</v>
      </c>
      <c r="B7" s="43">
        <v>24.46</v>
      </c>
    </row>
    <row r="8" spans="1:2" x14ac:dyDescent="0.45">
      <c r="A8" s="5">
        <f>A7+1</f>
        <v>2024</v>
      </c>
      <c r="B8" s="43">
        <v>25.59</v>
      </c>
    </row>
    <row r="9" spans="1:2" x14ac:dyDescent="0.45">
      <c r="A9" s="5">
        <f>A8+1</f>
        <v>2025</v>
      </c>
      <c r="B9" s="28">
        <f>_xlfn.FORECAST.LINEAR(A9,B2:B8,A2:A8)</f>
        <v>25.807142857142935</v>
      </c>
    </row>
    <row r="10" spans="1:2" x14ac:dyDescent="0.45">
      <c r="A10" s="5">
        <f t="shared" ref="A10:A38" si="0">A9+1</f>
        <v>2026</v>
      </c>
      <c r="B10" s="28">
        <f>_xlfn.FORECAST.LINEAR(A10,B2:B9,A2:A9)</f>
        <v>26.39392857142866</v>
      </c>
    </row>
    <row r="11" spans="1:2" x14ac:dyDescent="0.45">
      <c r="A11" s="5">
        <f t="shared" si="0"/>
        <v>2027</v>
      </c>
      <c r="B11" s="28">
        <f>_xlfn.FORECAST.LINEAR(A11,B2:B10,A2:A10)</f>
        <v>26.980714285714384</v>
      </c>
    </row>
    <row r="12" spans="1:2" x14ac:dyDescent="0.45">
      <c r="A12" s="5">
        <f t="shared" si="0"/>
        <v>2028</v>
      </c>
      <c r="B12" s="28">
        <f>_xlfn.FORECAST.LINEAR(A12,B2:B11,A2:A11)</f>
        <v>27.567500000000109</v>
      </c>
    </row>
    <row r="13" spans="1:2" x14ac:dyDescent="0.45">
      <c r="A13" s="5">
        <f t="shared" si="0"/>
        <v>2029</v>
      </c>
      <c r="B13" s="28">
        <f>_xlfn.FORECAST.LINEAR(A13,B2:B12,A2:A12)</f>
        <v>28.154285714285834</v>
      </c>
    </row>
    <row r="14" spans="1:2" x14ac:dyDescent="0.45">
      <c r="A14" s="5">
        <f t="shared" si="0"/>
        <v>2030</v>
      </c>
      <c r="B14" s="28">
        <f>_xlfn.FORECAST.LINEAR(A14,B2:B13,A2:A13)</f>
        <v>28.741071428571558</v>
      </c>
    </row>
    <row r="15" spans="1:2" x14ac:dyDescent="0.45">
      <c r="A15" s="5">
        <f t="shared" si="0"/>
        <v>2031</v>
      </c>
      <c r="B15" s="28">
        <f>_xlfn.FORECAST.LINEAR(A15,B2:B14,A2:A14)</f>
        <v>29.327857142857283</v>
      </c>
    </row>
    <row r="16" spans="1:2" x14ac:dyDescent="0.45">
      <c r="A16" s="5">
        <f t="shared" si="0"/>
        <v>2032</v>
      </c>
      <c r="B16" s="28">
        <f>_xlfn.FORECAST.LINEAR(A16,B2:B15,A2:A15)</f>
        <v>29.914642857143008</v>
      </c>
    </row>
    <row r="17" spans="1:2" x14ac:dyDescent="0.45">
      <c r="A17" s="5">
        <f t="shared" si="0"/>
        <v>2033</v>
      </c>
      <c r="B17" s="28">
        <f>_xlfn.FORECAST.LINEAR(A17,B2:B16,A2:A16)</f>
        <v>30.501428571428733</v>
      </c>
    </row>
    <row r="18" spans="1:2" x14ac:dyDescent="0.45">
      <c r="A18" s="5">
        <f t="shared" si="0"/>
        <v>2034</v>
      </c>
      <c r="B18" s="28">
        <f>_xlfn.FORECAST.LINEAR(A18,B2:B17,A2:A17)</f>
        <v>31.088214285714457</v>
      </c>
    </row>
    <row r="19" spans="1:2" x14ac:dyDescent="0.45">
      <c r="A19" s="5">
        <f t="shared" si="0"/>
        <v>2035</v>
      </c>
      <c r="B19" s="28">
        <f>_xlfn.FORECAST.LINEAR(A19,B2:B18,A2:A18)</f>
        <v>31.675000000000182</v>
      </c>
    </row>
    <row r="20" spans="1:2" x14ac:dyDescent="0.45">
      <c r="A20" s="5">
        <f t="shared" si="0"/>
        <v>2036</v>
      </c>
      <c r="B20" s="28">
        <f>_xlfn.FORECAST.LINEAR(A20,B2:B19,A2:A19)</f>
        <v>32.261785714285907</v>
      </c>
    </row>
    <row r="21" spans="1:2" x14ac:dyDescent="0.45">
      <c r="A21" s="5">
        <f t="shared" si="0"/>
        <v>2037</v>
      </c>
      <c r="B21" s="28">
        <f>_xlfn.FORECAST.LINEAR(A21,B2:B20,A2:A20)</f>
        <v>32.848571428571631</v>
      </c>
    </row>
    <row r="22" spans="1:2" x14ac:dyDescent="0.45">
      <c r="A22" s="5">
        <f t="shared" si="0"/>
        <v>2038</v>
      </c>
      <c r="B22" s="28">
        <f>_xlfn.FORECAST.LINEAR(A22,B2:B21,A2:A21)</f>
        <v>33.435357142857356</v>
      </c>
    </row>
    <row r="23" spans="1:2" x14ac:dyDescent="0.45">
      <c r="A23" s="5">
        <f t="shared" si="0"/>
        <v>2039</v>
      </c>
      <c r="B23" s="28">
        <f>_xlfn.FORECAST.LINEAR(A23,B2:B22,A2:A22)</f>
        <v>34.022142857143081</v>
      </c>
    </row>
    <row r="24" spans="1:2" x14ac:dyDescent="0.45">
      <c r="A24" s="5">
        <f t="shared" si="0"/>
        <v>2040</v>
      </c>
      <c r="B24" s="28">
        <f>_xlfn.FORECAST.LINEAR(A24,B2:B23,A2:A23)</f>
        <v>34.608928571428805</v>
      </c>
    </row>
    <row r="25" spans="1:2" x14ac:dyDescent="0.45">
      <c r="A25" s="5">
        <f t="shared" si="0"/>
        <v>2041</v>
      </c>
      <c r="B25" s="28">
        <f>_xlfn.FORECAST.LINEAR(A25,B2:B24,A2:A24)</f>
        <v>35.19571428571453</v>
      </c>
    </row>
    <row r="26" spans="1:2" x14ac:dyDescent="0.45">
      <c r="A26" s="5">
        <f t="shared" si="0"/>
        <v>2042</v>
      </c>
      <c r="B26" s="28">
        <f>_xlfn.FORECAST.LINEAR(A26,B2:B25,A2:A25)</f>
        <v>35.782500000000255</v>
      </c>
    </row>
    <row r="27" spans="1:2" x14ac:dyDescent="0.45">
      <c r="A27" s="5">
        <f t="shared" si="0"/>
        <v>2043</v>
      </c>
      <c r="B27" s="28">
        <f>_xlfn.FORECAST.LINEAR(A27,B2:B26,A2:A26)</f>
        <v>36.369285714285979</v>
      </c>
    </row>
    <row r="28" spans="1:2" x14ac:dyDescent="0.45">
      <c r="A28" s="5">
        <f t="shared" si="0"/>
        <v>2044</v>
      </c>
      <c r="B28" s="28">
        <f>_xlfn.FORECAST.LINEAR(A28,B2:B27,A2:A27)</f>
        <v>36.956071428571704</v>
      </c>
    </row>
    <row r="29" spans="1:2" x14ac:dyDescent="0.45">
      <c r="A29" s="5">
        <f t="shared" si="0"/>
        <v>2045</v>
      </c>
      <c r="B29" s="28">
        <f>_xlfn.FORECAST.LINEAR(A29,B2:B28,A2:A28)</f>
        <v>37.542857142857429</v>
      </c>
    </row>
    <row r="30" spans="1:2" x14ac:dyDescent="0.45">
      <c r="A30" s="5">
        <f t="shared" si="0"/>
        <v>2046</v>
      </c>
      <c r="B30" s="28">
        <f>_xlfn.FORECAST.LINEAR(A30,B2:B29,A2:A29)</f>
        <v>38.129642857143153</v>
      </c>
    </row>
    <row r="31" spans="1:2" x14ac:dyDescent="0.45">
      <c r="A31" s="5">
        <f t="shared" si="0"/>
        <v>2047</v>
      </c>
      <c r="B31" s="28">
        <f>_xlfn.FORECAST.LINEAR(A31,B2:B30,A2:A30)</f>
        <v>38.716428571428878</v>
      </c>
    </row>
    <row r="32" spans="1:2" x14ac:dyDescent="0.45">
      <c r="A32" s="5">
        <f t="shared" si="0"/>
        <v>2048</v>
      </c>
      <c r="B32" s="28">
        <f>_xlfn.FORECAST.LINEAR(A32,B2:B31,A2:A31)</f>
        <v>39.303214285714603</v>
      </c>
    </row>
    <row r="33" spans="1:2" x14ac:dyDescent="0.45">
      <c r="A33" s="5">
        <f t="shared" si="0"/>
        <v>2049</v>
      </c>
      <c r="B33" s="28">
        <f>_xlfn.FORECAST.LINEAR(A33,B2:B32,A2:A32)</f>
        <v>39.890000000000327</v>
      </c>
    </row>
    <row r="34" spans="1:2" x14ac:dyDescent="0.45">
      <c r="A34" s="5">
        <f t="shared" si="0"/>
        <v>2050</v>
      </c>
      <c r="B34" s="28">
        <f>_xlfn.FORECAST.LINEAR(A34,B2:B33,A2:A33)</f>
        <v>40.476785714286052</v>
      </c>
    </row>
    <row r="35" spans="1:2" x14ac:dyDescent="0.45">
      <c r="A35" s="5">
        <f t="shared" si="0"/>
        <v>2051</v>
      </c>
      <c r="B35" s="28">
        <f>_xlfn.FORECAST.LINEAR(A35,B2:B34,A2:A34)</f>
        <v>41.063571428571777</v>
      </c>
    </row>
    <row r="36" spans="1:2" x14ac:dyDescent="0.45">
      <c r="A36" s="5">
        <f t="shared" si="0"/>
        <v>2052</v>
      </c>
      <c r="B36" s="28">
        <f>_xlfn.FORECAST.LINEAR(A36,B2:B35,A2:A35)</f>
        <v>41.650357142857501</v>
      </c>
    </row>
    <row r="37" spans="1:2" x14ac:dyDescent="0.45">
      <c r="A37" s="5">
        <f t="shared" si="0"/>
        <v>2053</v>
      </c>
      <c r="B37" s="28">
        <f>_xlfn.FORECAST.LINEAR(A37,B2:B36,A2:A36)</f>
        <v>42.237142857143226</v>
      </c>
    </row>
    <row r="38" spans="1:2" x14ac:dyDescent="0.45">
      <c r="A38" s="5">
        <f t="shared" si="0"/>
        <v>2054</v>
      </c>
      <c r="B38" s="28">
        <f>_xlfn.FORECAST.LINEAR(A38,B2:B37,A2:A37)</f>
        <v>42.823928571428951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Nettonåverdi</vt:lpstr>
      <vt:lpstr>Tiltakskostnad</vt:lpstr>
      <vt:lpstr>Strøm-pris Lineær Prognose </vt:lpstr>
      <vt:lpstr>Gass-pris lineær prognose </vt:lpstr>
      <vt:lpstr>NOx-pris Lineær prognose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Gabrielsen</dc:creator>
  <cp:lastModifiedBy>Gustav Gabrielsen</cp:lastModifiedBy>
  <dcterms:created xsi:type="dcterms:W3CDTF">2024-10-17T10:53:24Z</dcterms:created>
  <dcterms:modified xsi:type="dcterms:W3CDTF">2024-10-26T11:48:02Z</dcterms:modified>
</cp:coreProperties>
</file>