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едомость металлоемкости" sheetId="1" r:id="rId4"/>
    <sheet state="visible" name="Ведомость бетоноемкости" sheetId="2" r:id="rId5"/>
    <sheet state="visible" name="Правила заполнения" sheetId="3" r:id="rId6"/>
    <sheet state="visible" name="Нормативные показатели металлое" sheetId="4" r:id="rId7"/>
    <sheet state="hidden" name="Нормативные показатели (рабочая" sheetId="5" r:id="rId8"/>
    <sheet state="hidden" name="lib" sheetId="6" r:id="rId9"/>
  </sheets>
  <definedNames>
    <definedName hidden="1" localSheetId="0" name="_xlnm._FilterDatabase">'Ведомость металлоемкости'!$A$2:$S$100</definedName>
    <definedName hidden="1" localSheetId="4" name="_xlnm._FilterDatabase">'Нормативные показатели (рабочая'!$K$2:$O$34</definedName>
    <definedName hidden="1" localSheetId="0" name="Z_25E1BA24_ECBE_4852_A36F_A0CF6B0972FA_.wvu.FilterData">'Ведомость металлоемкости'!$A$2:$T$52</definedName>
    <definedName hidden="1" localSheetId="0" name="Z_1B9AC58C_8161_4B46_9499_70AA6E745601_.wvu.FilterData">'Ведомость металлоемкости'!$A$1:$W$1</definedName>
    <definedName hidden="1" localSheetId="0" name="Z_43C24919_ED0C_4F9B_A20A_8E519D343F35_.wvu.FilterData">'Ведомость металлоемкости'!$A$1:$W$100</definedName>
    <definedName hidden="1" localSheetId="0" name="Z_26DBE124_1571_4A1A_AF01_4C2A8D7B2B33_.wvu.FilterData">'Ведомость металлоемкости'!$A$1:$R$996</definedName>
    <definedName hidden="1" localSheetId="0" name="Z_CCA79ACA_9100_46DA_8AFD_551F91672251_.wvu.FilterData">'Ведомость металлоемкости'!$A$3:$R$60</definedName>
    <definedName hidden="1" localSheetId="0" name="Z_C6B5952D_C9C7_43E7_85D7_94330B37EFD9_.wvu.FilterData">'Ведомость металлоемкости'!$A$1:$K$996</definedName>
  </definedNames>
  <calcPr/>
  <customWorkbookViews>
    <customWorkbookView activeSheetId="0" maximized="1" windowHeight="0" windowWidth="0" guid="{25E1BA24-ECBE-4852-A36F-A0CF6B0972FA}" name="Фильтр 1"/>
    <customWorkbookView activeSheetId="0" maximized="1" windowHeight="0" windowWidth="0" guid="{CCA79ACA-9100-46DA-8AFD-551F91672251}" name="Фильтр 2"/>
    <customWorkbookView activeSheetId="0" maximized="1" windowHeight="0" windowWidth="0" guid="{1B9AC58C-8161-4B46-9499-70AA6E745601}" name="Фильтр 3"/>
    <customWorkbookView activeSheetId="0" maximized="1" windowHeight="0" windowWidth="0" guid="{43C24919-ED0C-4F9B-A20A-8E519D343F35}" name="Фильтр 4"/>
    <customWorkbookView activeSheetId="0" maximized="1" windowHeight="0" windowWidth="0" guid="{C6B5952D-C9C7-43E7-85D7-94330B37EFD9}" name="Садовникова"/>
    <customWorkbookView activeSheetId="0" maximized="1" windowHeight="0" windowWidth="0" guid="{26DBE124-1571-4A1A-AF01-4C2A8D7B2B33}" name="БКП Тюмень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9">
      <text>
        <t xml:space="preserve">Дата В папке у Техзаказчика. Выдано до 04.07.2023</t>
      </text>
    </comment>
    <comment authorId="0" ref="I20">
      <text>
        <t xml:space="preserve">Дата В папке у Техзаказчика. Выдано до 04.07.2023</t>
      </text>
    </comment>
    <comment authorId="0" ref="I21">
      <text>
        <t xml:space="preserve">Дата В папке у Техзаказчика. Выдано до 04.07.2023</t>
      </text>
    </comment>
    <comment authorId="0" ref="I22">
      <text>
        <t xml:space="preserve">Дата В папке у Техзаказчика. Выдано до 04.07.2023</t>
      </text>
    </comment>
    <comment authorId="0" ref="I23">
      <text>
        <t xml:space="preserve">Дата В папке у Техзаказчика. Выдано до 04.07.2023</t>
      </text>
    </comment>
    <comment authorId="0" ref="I24">
      <text>
        <t xml:space="preserve">Дата В папке у Техзаказчика. Выдано до 04.07.2023</t>
      </text>
    </comment>
    <comment authorId="0" ref="I25">
      <text>
        <t xml:space="preserve">Дата В папке у Техзаказчика. Выдано до 04.07.2023</t>
      </text>
    </comment>
    <comment authorId="0" ref="I26">
      <text>
        <t xml:space="preserve">Дата В папке у Техзаказчика. Выдано до 04.07.2023</t>
      </text>
    </comment>
    <comment authorId="0" ref="Q62">
      <text>
        <t xml:space="preserve">1. В замечаниях к стандарту мы просили сделать требование 250кг/м3 для этажности 18-25, вместо 19-25. ТОГДА ВХОДИМ В СТАНДАРТ.  ДП НЕ отказал на данную просьбу, письмо перенаправил Дмитрию Курманову 24.07.2023
2. Была соблюдена кратность резки арматуры ВСЕХ деталей (Пшек и др. деталей) согласно требованию Техзадания. Данное требование позже исключили из ТЗ, а работа по номенклатуре деталей с учетом кратности уже была сделана</t>
      </text>
    </comment>
    <comment authorId="0" ref="Q64">
      <text>
        <t xml:space="preserve">Была соблюдена кратность резки арматуры ВСЕХ деталей (Пшек и др. деталей) согласно требованию Техзадания. Данное требование позже исключили из ТЗ, а работа по номенклатуре деталей с учетом кратности уже была сделана</t>
      </text>
    </comment>
    <comment authorId="0" ref="Q80">
      <text>
        <t xml:space="preserve">Внесен ВЕРТИКАЛ ТИПОВОГО ЭТАЖА, согласно требованиям стандарта.
типовые этажи, это этажи, которых большинство.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">
      <text>
        <t xml:space="preserve">Дата В папке у Техзаказчика. Выдано до 04.07.2023</t>
      </text>
    </comment>
    <comment authorId="0" ref="J5">
      <text>
        <t xml:space="preserve">Дата В папке у Техзаказчика. Выдано до 04.07.2023</t>
      </text>
    </comment>
    <comment authorId="0" ref="J6">
      <text>
        <t xml:space="preserve">Дата В папке у Техзаказчика. Выдано до 04.07.2023</t>
      </text>
    </comment>
    <comment authorId="0" ref="J7">
      <text>
        <t xml:space="preserve">Дата В папке у Техзаказчика. Выдано до 04.07.2023</t>
      </text>
    </comment>
  </commentList>
</comments>
</file>

<file path=xl/sharedStrings.xml><?xml version="1.0" encoding="utf-8"?>
<sst xmlns="http://schemas.openxmlformats.org/spreadsheetml/2006/main" count="1768" uniqueCount="238">
  <si>
    <t>БКП</t>
  </si>
  <si>
    <t>Объект</t>
  </si>
  <si>
    <t>Тип здания</t>
  </si>
  <si>
    <t>Секция</t>
  </si>
  <si>
    <t>Этажность</t>
  </si>
  <si>
    <t>Комплект</t>
  </si>
  <si>
    <t>Обозначение комплекта
 (с титульного листа)</t>
  </si>
  <si>
    <t>№ изм</t>
  </si>
  <si>
    <t>Дата поступления комплекта на проверку</t>
  </si>
  <si>
    <t>Дата согласования комплекта</t>
  </si>
  <si>
    <t>Тип конструкции</t>
  </si>
  <si>
    <t>Этаж</t>
  </si>
  <si>
    <t>Объем арматуры / кг</t>
  </si>
  <si>
    <t>Объем бетона / м3</t>
  </si>
  <si>
    <t>Расход, кг/м3</t>
  </si>
  <si>
    <t>Целевые показатели, кг/м3</t>
  </si>
  <si>
    <t>Отклонения, %</t>
  </si>
  <si>
    <t>Согласование отклонения</t>
  </si>
  <si>
    <t>Расход, кг/м3 после согласования комплекта</t>
  </si>
  <si>
    <t>Разница</t>
  </si>
  <si>
    <t>Комментарии ГС ТЗ в случае согласования отклонений</t>
  </si>
  <si>
    <t>Фин.рез в ₽ от нормы</t>
  </si>
  <si>
    <t>Ссылка</t>
  </si>
  <si>
    <t>ТМН</t>
  </si>
  <si>
    <t>Европейский берег2_ГП-1</t>
  </si>
  <si>
    <t>МКД</t>
  </si>
  <si>
    <t>КЖ1.1</t>
  </si>
  <si>
    <t>нет</t>
  </si>
  <si>
    <t>Ростверк (втор.ГИ)</t>
  </si>
  <si>
    <t>Да</t>
  </si>
  <si>
    <t>КРДР</t>
  </si>
  <si>
    <t>Ирбитская_ГП-1</t>
  </si>
  <si>
    <t>КЖ2.1.П</t>
  </si>
  <si>
    <t>Перекрытие 1 эт.</t>
  </si>
  <si>
    <t>Ирбитская_ГП-2</t>
  </si>
  <si>
    <t>ВН</t>
  </si>
  <si>
    <t>Озерная_ГП-1</t>
  </si>
  <si>
    <t>Вертикал. типового этажа</t>
  </si>
  <si>
    <t>Не норм</t>
  </si>
  <si>
    <t>паркинг</t>
  </si>
  <si>
    <t>Покрытие паркинга</t>
  </si>
  <si>
    <t>Нормы установлена по рефересным значениям по данным ПИК</t>
  </si>
  <si>
    <t>Плеханово-51Га_ГП-13</t>
  </si>
  <si>
    <t>С2</t>
  </si>
  <si>
    <t>КЖ1.2.П</t>
  </si>
  <si>
    <t>Перекрытие над подвалом</t>
  </si>
  <si>
    <t>Сибирский тракт_этап2</t>
  </si>
  <si>
    <t>С1</t>
  </si>
  <si>
    <t>КЖ2.3.В</t>
  </si>
  <si>
    <t>КЖ2.3.П</t>
  </si>
  <si>
    <t>Перекрытие типового эт.</t>
  </si>
  <si>
    <t>С4</t>
  </si>
  <si>
    <t>С5</t>
  </si>
  <si>
    <t>Сроки СМР</t>
  </si>
  <si>
    <t>С6</t>
  </si>
  <si>
    <t>Подзем.паркинг</t>
  </si>
  <si>
    <t>С7</t>
  </si>
  <si>
    <t>КЖ1.2.В</t>
  </si>
  <si>
    <t>Вертикал.подвала (втор.ГИ)</t>
  </si>
  <si>
    <t>КЖ1.3</t>
  </si>
  <si>
    <t>Приямки</t>
  </si>
  <si>
    <t>КЖ2.4.В</t>
  </si>
  <si>
    <t>Согласовано т.к. стандарт не распространяется на данный объект+разработку вел подрядчик (понадобится допфинасирование). По заданию на армирование количество колонн по изополям с Ф16 минимальное в отличии от чертежей. Возможна оптимизация с достижением целевых показателей</t>
  </si>
  <si>
    <t>КЖ2.4.П</t>
  </si>
  <si>
    <t>КЖ2.3.2.П.С4</t>
  </si>
  <si>
    <t>КЖ2.3.2.В.С4</t>
  </si>
  <si>
    <t>нет нормы</t>
  </si>
  <si>
    <t>Нет</t>
  </si>
  <si>
    <t>КЖ2.2.В</t>
  </si>
  <si>
    <t>КЖ2.2.1.В.С4</t>
  </si>
  <si>
    <t>Вертикал. 2 эт.</t>
  </si>
  <si>
    <t>КЖ2.2.2.В.С4</t>
  </si>
  <si>
    <t>КЖ2.2.В.С1,С2</t>
  </si>
  <si>
    <t>Конструкции фактически выполнены на площадке</t>
  </si>
  <si>
    <t>КЖ2.1.В</t>
  </si>
  <si>
    <t>КЖ2.1.2.В.С1,С2</t>
  </si>
  <si>
    <t>СМР завершены</t>
  </si>
  <si>
    <t>КЖ2.3.1.В.С1,С2</t>
  </si>
  <si>
    <t>КЖ2.3.2.В.С1,С2</t>
  </si>
  <si>
    <t>КЖ2.3.3.В.С1,С2</t>
  </si>
  <si>
    <t>ИРБ-01-КЖ2.1.П2</t>
  </si>
  <si>
    <t>Перекрытие 2 эт.</t>
  </si>
  <si>
    <t>ИРБ-01-КЖ2.4.С1.В</t>
  </si>
  <si>
    <t>не норм</t>
  </si>
  <si>
    <t>Па данным от ПИК по башням свыше 75 м референсные значения 140-170</t>
  </si>
  <si>
    <t>СТ-01-КЖ2.4.П.С2</t>
  </si>
  <si>
    <t>СТ-01-КЖ2.4.П.С4</t>
  </si>
  <si>
    <t>СТ-01-КЖ2.4.П.С6</t>
  </si>
  <si>
    <t>Вертикал. подвала</t>
  </si>
  <si>
    <t>Будет откорректирован стандарт в части высотных секций, на текущий момент норма распространяется с 19 до 25 этажей, будет с 18 до 25</t>
  </si>
  <si>
    <t>Согласовано по причине того, что объект не вошел в АП. По полям армирования можно выполнить оптимизацию за счет применения разных диаметров продольного армирования+исключение кратности резки деталей</t>
  </si>
  <si>
    <t>https://docs.google.com/document/d/1CctebYamFWWhbr2csdI_rDI9xhtVGX2v/edit</t>
  </si>
  <si>
    <t>03302_Р_КЖ1.2.П</t>
  </si>
  <si>
    <t>подвал</t>
  </si>
  <si>
    <t>Раскладка армирования выполнена в соответствии с заданием на армирование, вариантов оптимизации не обнаружил</t>
  </si>
  <si>
    <t>кальки и продавливание С1.1</t>
  </si>
  <si>
    <t>Отклонение согласовано по причине того, что данная секция одноэтажная</t>
  </si>
  <si>
    <t>ИРБ-01-КЖ2.4.С2.В</t>
  </si>
  <si>
    <t>ИРБ-01-КЖ2.4.С3.В</t>
  </si>
  <si>
    <t>ИРБ-01-КЖ2.4.С1.П</t>
  </si>
  <si>
    <t>ИРБ-01-КЖ2.4.С2.П</t>
  </si>
  <si>
    <t>ИРБ-01-КЖ2.4.С3.П</t>
  </si>
  <si>
    <t>СТ-01-КЖ2.4.В.С1</t>
  </si>
  <si>
    <t>ПЛХ-13-КЖ1.2.В.С1</t>
  </si>
  <si>
    <t>Вертикал. подвала (перв. ГИ)</t>
  </si>
  <si>
    <t>Отклонения в меньшую сторону обоснованы тем, что часть выпусков из ростверка являются продольным армированием пилонов и колонн подвального этажа</t>
  </si>
  <si>
    <t>02501-КЖ2.3.3.П.С4</t>
  </si>
  <si>
    <t>ПЛХ-13-КЖ1.2.В.С2</t>
  </si>
  <si>
    <t>ПЛХ-13-КЖ1.2.В.С3</t>
  </si>
  <si>
    <t>СТ-01-КЖ2.4.П.С1</t>
  </si>
  <si>
    <t>11-25</t>
  </si>
  <si>
    <t xml:space="preserve">02501-КЖ2.3.2.П.С1,С2 </t>
  </si>
  <si>
    <t>02501-КЖ1.2.В.С6,С7</t>
  </si>
  <si>
    <t>По данным от ПИК рефересные значения металлоемкости при смешанном каркасе находятся в пределах 170-250 кг/м.куб</t>
  </si>
  <si>
    <t>03302_Р_КЖ2.1.В1</t>
  </si>
  <si>
    <t>Вертикал. 1 эт.</t>
  </si>
  <si>
    <t>1 этаж</t>
  </si>
  <si>
    <t>Отклонения менее 5%</t>
  </si>
  <si>
    <t>Отклонения согласованы по причине того, что секция является одноэтажной</t>
  </si>
  <si>
    <t>https://pdm.strana.com/proekt/ProjLib/00 Выпуск/С. Ирбитская/01_Объекты/ГП-2/06_РД/04.1_КЖ/03_КЖ2/01_КЖ2.1.В/01_КЖ2.1.В1/Изм.0/05_Расчетное обоснование/01_Локальные расчеты</t>
  </si>
  <si>
    <t>1 Этаж</t>
  </si>
  <si>
    <t>Отклонения согласованы по причине того, что секция малоэтажная (8 эт)</t>
  </si>
  <si>
    <t>03302_Р_КЖ2.1.В2</t>
  </si>
  <si>
    <t>2 этаж</t>
  </si>
  <si>
    <t>https://pdm.strana.com/proekt/ProjLib/00 Выпуск/С. Ирбитская/01_Объекты/ГП-2/06_РД/04.1_КЖ/03_КЖ2/01_КЖ2.1.В/02_КЖ2.1.В2/Изм.0/05_Расчетное обоснование/01_Локальные расчеты</t>
  </si>
  <si>
    <t>3, 4 эт</t>
  </si>
  <si>
    <t>Армирование выполнено в соответтсвии с заданием, возможно прорядить поперечное армирование по конструктивным требованиям</t>
  </si>
  <si>
    <t xml:space="preserve">02501-КЖ2.3.4.П.С1,С2 </t>
  </si>
  <si>
    <t>03302_Р_КЖ2.1.П1</t>
  </si>
  <si>
    <t>https://pdm.strana.com/proekt/ProjLib/00 Выпуск/С. Ирбитская/01_Объекты/ГП-2/06_РД/04.1_КЖ/03_КЖ2/02_КЖ2.1.П/01_КЖ2.1.П1/Изм.0/05_Расчетное обоснование/01_Локальные расчеты/Секция 1 Изополя</t>
  </si>
  <si>
    <t>https://pdm.strana.com/proekt/ProjLib/00 Выпуск/С. Ирбитская/01_Объекты/ГП-2/06_РД/04.1_КЖ/03_КЖ2/02_КЖ2.1.П/01_КЖ2.1.П1/Изм.0/05_Расчетное обоснование/01_Локальные расчеты/Секция 1.2 Изополя</t>
  </si>
  <si>
    <t>https://pdm.strana.com/proekt/ProjLib/00 Выпуск/С. Ирбитская/01_Объекты/ГП-2/06_РД/04.1_КЖ/03_КЖ2/02_КЖ2.1.П/01_КЖ2.1.П1/Изм.0/05_Расчетное обоснование/01_Локальные расчеты/Секция 2 Изополя</t>
  </si>
  <si>
    <t>https://pdm.strana.com/proekt/ProjLib/00 Выпуск/С. Ирбитская/01_Объекты/ГП-2/06_РД/04.1_КЖ/03_КЖ2/02_КЖ2.1.П/01_КЖ2.1.П1/Изм.0/05_Расчетное обоснование/01_Локальные расчеты/Секция 3 Изополя</t>
  </si>
  <si>
    <t>03302_Р_КЖ2.1.П2</t>
  </si>
  <si>
    <t>https://pdm.strana.com/proekt/ProjLib/00 Выпуск/С. Ирбитская/01_Объекты/ГП-2/06_РД/04.1_КЖ/03_КЖ2/02_КЖ2.1.П/02_КЖ2.1.П2/Изм.0/05_Расчетное обоснование/01_Локальные расчеты/Секция 1 Изополя</t>
  </si>
  <si>
    <t>https://pdm.strana.com/proekt/ProjLib/00 Выпуск/С. Ирбитская/01_Объекты/ГП-2/06_РД/04.1_КЖ/03_КЖ2/02_КЖ2.1.П/02_КЖ2.1.П2/Изм.0/05_Расчетное обоснование/01_Локальные расчеты/Секция 2 Изополя</t>
  </si>
  <si>
    <t>https://pdm.strana.com/proekt/ProjLib/00 Выпуск/С. Ирбитская/01_Объекты/ГП-2/06_РД/04.1_КЖ/03_КЖ2/02_КЖ2.1.П/02_КЖ2.1.П2/Изм.0/05_Расчетное обоснование/01_Локальные расчеты/Секция 3 Изополя</t>
  </si>
  <si>
    <t xml:space="preserve"> </t>
  </si>
  <si>
    <t>Согласование объекта</t>
  </si>
  <si>
    <t>Стадия</t>
  </si>
  <si>
    <t>Изм</t>
  </si>
  <si>
    <t>Дата</t>
  </si>
  <si>
    <t>Марка бетона</t>
  </si>
  <si>
    <t>V бетона на этаж</t>
  </si>
  <si>
    <t>ОРП, м2</t>
  </si>
  <si>
    <t>S плиты, м2</t>
  </si>
  <si>
    <t>Фактическое значение на ОРП, м3/м2</t>
  </si>
  <si>
    <t>Референсные значения на ОРП, м3/м2</t>
  </si>
  <si>
    <t>Фактическое значение на S плиты, м3/м2</t>
  </si>
  <si>
    <t>Референсные значения на S плиты, м3/м2</t>
  </si>
  <si>
    <t>Согласование этажа</t>
  </si>
  <si>
    <t>Комментарии</t>
  </si>
  <si>
    <t>Типовой</t>
  </si>
  <si>
    <t>-</t>
  </si>
  <si>
    <t>Р</t>
  </si>
  <si>
    <t>РНД</t>
  </si>
  <si>
    <t>Плеханово-51Га_ГП-14</t>
  </si>
  <si>
    <t>П</t>
  </si>
  <si>
    <t>С3</t>
  </si>
  <si>
    <t>Плеханово-51Га_ГП-15</t>
  </si>
  <si>
    <t>Высокая готовность стадии П, корректировки возможны были на стадии ПР ФР</t>
  </si>
  <si>
    <t>Плеханово-51Га_ГП-17</t>
  </si>
  <si>
    <t>С2.1</t>
  </si>
  <si>
    <t>С2.2</t>
  </si>
  <si>
    <t>Первый</t>
  </si>
  <si>
    <t>Плеханово-51Га_ГП-16 паркинг</t>
  </si>
  <si>
    <t>Назем. паркинг</t>
  </si>
  <si>
    <t>Интернациональная-15199_ГП-2</t>
  </si>
  <si>
    <t>С1.2</t>
  </si>
  <si>
    <t>С1.1</t>
  </si>
  <si>
    <t>Шефская_ГП-1</t>
  </si>
  <si>
    <t>С3.1</t>
  </si>
  <si>
    <t>С3.2</t>
  </si>
  <si>
    <t>№</t>
  </si>
  <si>
    <t>Правила заполнения</t>
  </si>
  <si>
    <t>Ячейки с серым фоном не редактировать, формулы не менять, в случае ошибки указать комментарий и обраться в отдел стандартизации</t>
  </si>
  <si>
    <t>Ячейки "согласование комплекта" и "согласование объекта" может проставлять только представитель техзаказчика</t>
  </si>
  <si>
    <t>Ячейки с синим шрифтом необходимо заполнять вручную</t>
  </si>
  <si>
    <t>Ячейки с черным шрифтом необходимо выбирать из списка. При отсутствии нужной ячейки обратиться в отдел стандартизации</t>
  </si>
  <si>
    <t>Изменение показателей фиксируется в строчке с предыдущими данными (необходимо актуализировать дату и показатели, добавить номер изменения)</t>
  </si>
  <si>
    <t>Для паркинга типовым этажом считать два полуэтажа и рампу.</t>
  </si>
  <si>
    <t>Для пакрингов бетоноемкость считается только по площади плиты (без ОРП).</t>
  </si>
  <si>
    <t>Металлоемкость</t>
  </si>
  <si>
    <t>Контролируемый тип конструкции</t>
  </si>
  <si>
    <t>Целевые показатели металлоемкости, кг/м.куб</t>
  </si>
  <si>
    <t>Примечания</t>
  </si>
  <si>
    <t>Ростверк (первичная гидроизоляция)</t>
  </si>
  <si>
    <t>Плитный фундамент (первичная гидроизоляция)</t>
  </si>
  <si>
    <t>Ростверк (вторичная гидроизоляция)</t>
  </si>
  <si>
    <t>Плитный фундамент (вторичная гидроизоляция)</t>
  </si>
  <si>
    <t>Иное</t>
  </si>
  <si>
    <t>Вертикальные конструкции подвального этажа (вторичная гидроизоляция)</t>
  </si>
  <si>
    <t>Вертикальные конструкции подвального этажа (первичная гидроизоляция)</t>
  </si>
  <si>
    <t>Перекрытие подвального этажа</t>
  </si>
  <si>
    <t>Вертикальные конструкции 1-ого этажа</t>
  </si>
  <si>
    <t>Перекрытие 1-ого этажа</t>
  </si>
  <si>
    <t>Вертикальные конструкции 2-ого этажа</t>
  </si>
  <si>
    <t>Перекрытие 2-ого этажа</t>
  </si>
  <si>
    <t>Вертикальные конструкции типового этажа</t>
  </si>
  <si>
    <t>Перекрытия типового этажа</t>
  </si>
  <si>
    <t>Вертикальные конструкции подвального, 1-ого и 2-ого этажей для секций 19-25 этажей</t>
  </si>
  <si>
    <t>Вертикальные конструкции подвального, 1-ого и 2-ого этажей для секций 26-32 этажей</t>
  </si>
  <si>
    <t>Ярус</t>
  </si>
  <si>
    <t>Этажность здания</t>
  </si>
  <si>
    <t>Тип расположения конструкции</t>
  </si>
  <si>
    <t>Строение</t>
  </si>
  <si>
    <t>Значение</t>
  </si>
  <si>
    <t>Тип этажа</t>
  </si>
  <si>
    <t>min/max</t>
  </si>
  <si>
    <t>Показатели</t>
  </si>
  <si>
    <t>min</t>
  </si>
  <si>
    <t>max</t>
  </si>
  <si>
    <t>Фундамент</t>
  </si>
  <si>
    <t>Ростверк (перв. ГИ)</t>
  </si>
  <si>
    <t>Подзем. паркинг</t>
  </si>
  <si>
    <t>на ОРП</t>
  </si>
  <si>
    <t>н</t>
  </si>
  <si>
    <t>Плитный фундамент (перв. ГИ)</t>
  </si>
  <si>
    <t>Плитный фундамент (втор.ГИ)</t>
  </si>
  <si>
    <t>Подземная часть</t>
  </si>
  <si>
    <t>Ярусный</t>
  </si>
  <si>
    <t>Вертикал</t>
  </si>
  <si>
    <t>на S плиты</t>
  </si>
  <si>
    <t>Горизонтал</t>
  </si>
  <si>
    <t>Типовой этаж</t>
  </si>
  <si>
    <t>С подрезками</t>
  </si>
  <si>
    <t>Горизонт</t>
  </si>
  <si>
    <t>Покрытие</t>
  </si>
  <si>
    <t>Техподполье</t>
  </si>
  <si>
    <t>Вертикал. подздемного этажа паркинга (перв. ГИ)</t>
  </si>
  <si>
    <t>Вертикал. подздемного этажа паркинга (втор.ГИ)</t>
  </si>
  <si>
    <t>Вертикал надземной части паркинга</t>
  </si>
  <si>
    <t>Перекрытие надземной части паркинга</t>
  </si>
  <si>
    <t>Площадка</t>
  </si>
  <si>
    <t>Корпус</t>
  </si>
  <si>
    <t>Тип объекта</t>
  </si>
  <si>
    <t>КЖ2.2.П</t>
  </si>
  <si>
    <t>КЖ3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</si>
</sst>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.0"/>
    <numFmt numFmtId="165" formatCode="#,##0.00[$ ₽]"/>
    <numFmt numFmtId="166" formatCode="d.m"/>
    <numFmt numFmtId="167" formatCode="dd.MM.yyyy"/>
    <numFmt numFmtId="168" formatCode="0.0%"/>
    <numFmt numFmtId="169" formatCode="0.0"/>
    <numFmt numFmtId="170" formatCode="dd.mm.yyyy"/>
    <numFmt numFmtId="171" formatCode="dd.MM.yy"/>
    <numFmt numFmtId="172" formatCode="#,##0;(#,##0)"/>
  </numFmts>
  <fonts count="29">
    <font>
      <sz val="11.0"/>
      <color theme="1"/>
      <name val="Calibri"/>
      <scheme val="minor"/>
    </font>
    <font>
      <b/>
      <sz val="8.0"/>
      <color theme="1"/>
      <name val="Arial"/>
    </font>
    <font>
      <b/>
      <sz val="8.0"/>
      <color rgb="FF0000FF"/>
      <name val="Arial"/>
    </font>
    <font>
      <b/>
      <sz val="8.0"/>
      <color rgb="FF000000"/>
      <name val="Arial"/>
    </font>
    <font>
      <sz val="8.0"/>
      <color theme="1"/>
      <name val="Arial"/>
    </font>
    <font>
      <sz val="8.0"/>
      <color rgb="FF0000FF"/>
      <name val="Arial"/>
    </font>
    <font>
      <sz val="8.0"/>
      <color rgb="FF000000"/>
      <name val="Arial"/>
    </font>
    <font>
      <sz val="8.0"/>
      <color rgb="FFFF0000"/>
      <name val="Arial"/>
    </font>
    <font>
      <sz val="8.0"/>
      <color rgb="FF0000FF"/>
      <name val="Calibri"/>
      <scheme val="minor"/>
    </font>
    <font>
      <u/>
      <sz val="8.0"/>
      <color rgb="FF0000FF"/>
      <name val="Arial"/>
    </font>
    <font>
      <u/>
      <color rgb="FF0000FF"/>
    </font>
    <font>
      <u/>
      <sz val="8.0"/>
      <color rgb="FF0563C1"/>
      <name val="Arial"/>
    </font>
    <font>
      <u/>
      <sz val="8.0"/>
      <color rgb="FF0000FF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9.0"/>
      <color rgb="FF0000FF"/>
      <name val="Arial"/>
    </font>
    <font>
      <sz val="9.0"/>
      <color rgb="FF0000FF"/>
      <name val="Arial"/>
    </font>
    <font>
      <b/>
      <color theme="1"/>
      <name val="Times New Roman"/>
    </font>
    <font>
      <color theme="1"/>
      <name val="Times New Roman"/>
    </font>
    <font>
      <sz val="11.0"/>
      <color theme="1"/>
      <name val="Times New Roman"/>
    </font>
    <font>
      <b/>
      <color rgb="FFFFFFFF"/>
      <name val="Times New Roman"/>
    </font>
    <font>
      <color rgb="FFFFFFFF"/>
      <name val="Times New Roman"/>
    </font>
    <font/>
    <font>
      <b/>
      <color rgb="FF000000"/>
      <name val="Times New Roman"/>
    </font>
    <font>
      <color rgb="FF000000"/>
      <name val="Times New Roman"/>
    </font>
    <font>
      <b/>
      <color theme="1"/>
      <name val="Calibri"/>
      <scheme val="minor"/>
    </font>
    <font>
      <color theme="1"/>
      <name val="&quot;PT Sans&quot;"/>
    </font>
    <font>
      <color theme="1"/>
      <name val="Calibri"/>
      <scheme val="minor"/>
    </font>
    <font>
      <b/>
      <color rgb="FFFFFFFF"/>
      <name val="Calibri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FD966"/>
        <bgColor rgb="FFFFD966"/>
      </patternFill>
    </fill>
    <fill>
      <patternFill patternType="solid">
        <fgColor rgb="FF38761D"/>
        <bgColor rgb="FF38761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  <fill>
      <patternFill patternType="solid">
        <fgColor rgb="FF1155CC"/>
        <bgColor rgb="FF1155C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0B5394"/>
        <bgColor rgb="FF0B5394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8EAADB"/>
      </left>
      <right style="thin">
        <color rgb="FF000000"/>
      </right>
      <top style="thin">
        <color rgb="FF8EAADB"/>
      </top>
      <bottom style="thin">
        <color rgb="FF8EAADB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medium">
        <color rgb="FF000000"/>
      </left>
      <right style="thin">
        <color rgb="FF999999"/>
      </right>
      <top style="medium">
        <color rgb="FF000000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medium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medium">
        <color rgb="FF000000"/>
      </top>
      <bottom style="thin">
        <color rgb="FF999999"/>
      </bottom>
    </border>
    <border>
      <left style="thin">
        <color rgb="FF999999"/>
      </left>
      <right style="medium">
        <color rgb="FF000000"/>
      </right>
      <top style="medium">
        <color rgb="FF000000"/>
      </top>
      <bottom style="thin">
        <color rgb="FF999999"/>
      </bottom>
    </border>
    <border>
      <left style="medium">
        <color rgb="FF000000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medium">
        <color rgb="FF000000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medium">
        <color rgb="FF000000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medium">
        <color rgb="FF000000"/>
      </right>
      <top style="thin">
        <color rgb="FF999999"/>
      </top>
    </border>
    <border>
      <left style="thin">
        <color rgb="FF999999"/>
      </left>
      <right style="medium">
        <color rgb="FF000000"/>
      </right>
      <top style="thin">
        <color rgb="FF999999"/>
      </top>
      <bottom style="medium">
        <color rgb="FF000000"/>
      </bottom>
    </border>
    <border>
      <left style="medium">
        <color rgb="FF000000"/>
      </left>
      <right style="thin">
        <color rgb="FF999999"/>
      </right>
      <top style="thin">
        <color rgb="FF999999"/>
      </top>
      <bottom style="medium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3" fontId="1" numFmtId="164" xfId="0" applyAlignment="1" applyBorder="1" applyFont="1" applyNumberFormat="1">
      <alignment horizontal="center" readingOrder="0" shrinkToFit="0" vertical="center" wrapText="1"/>
    </xf>
    <xf borderId="1" fillId="3" fontId="1" numFmtId="165" xfId="0" applyAlignment="1" applyBorder="1" applyFont="1" applyNumberFormat="1">
      <alignment horizontal="center" readingOrder="0" shrinkToFit="0" vertical="center" wrapText="1"/>
    </xf>
    <xf borderId="1" fillId="4" fontId="4" numFmtId="0" xfId="0" applyAlignment="1" applyBorder="1" applyFill="1" applyFont="1">
      <alignment horizontal="center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1" fillId="4" fontId="5" numFmtId="164" xfId="0" applyAlignment="1" applyBorder="1" applyFont="1" applyNumberFormat="1">
      <alignment horizontal="center" shrinkToFit="0" vertical="center" wrapText="1"/>
    </xf>
    <xf borderId="1" fillId="4" fontId="4" numFmtId="164" xfId="0" applyAlignment="1" applyBorder="1" applyFont="1" applyNumberFormat="1">
      <alignment horizontal="center" shrinkToFit="0" vertical="center" wrapText="1"/>
    </xf>
    <xf borderId="1" fillId="4" fontId="4" numFmtId="165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5" numFmtId="166" xfId="0" applyAlignment="1" applyBorder="1" applyFont="1" applyNumberForma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5" numFmtId="167" xfId="0" applyAlignment="1" applyBorder="1" applyFont="1" applyNumberFormat="1">
      <alignment horizontal="center" readingOrder="0" shrinkToFit="0" vertical="center" wrapText="1"/>
    </xf>
    <xf borderId="1" fillId="0" fontId="5" numFmtId="164" xfId="0" applyAlignment="1" applyBorder="1" applyFont="1" applyNumberFormat="1">
      <alignment horizontal="center" readingOrder="0" shrinkToFit="0" vertical="center" wrapText="1"/>
    </xf>
    <xf borderId="1" fillId="5" fontId="4" numFmtId="0" xfId="0" applyAlignment="1" applyBorder="1" applyFill="1" applyFont="1">
      <alignment horizontal="center" shrinkToFit="0" vertical="center" wrapText="1"/>
    </xf>
    <xf borderId="1" fillId="5" fontId="6" numFmtId="168" xfId="0" applyAlignment="1" applyBorder="1" applyFont="1" applyNumberFormat="1">
      <alignment horizontal="center" shrinkToFit="0" vertical="center" wrapText="1"/>
    </xf>
    <xf borderId="1" fillId="0" fontId="5" numFmtId="167" xfId="0" applyAlignment="1" applyBorder="1" applyFont="1" applyNumberFormat="1">
      <alignment horizontal="center" shrinkToFit="0" vertical="center" wrapText="1"/>
    </xf>
    <xf borderId="1" fillId="0" fontId="5" numFmtId="164" xfId="0" applyAlignment="1" applyBorder="1" applyFont="1" applyNumberFormat="1">
      <alignment horizontal="center" shrinkToFit="0" vertical="center" wrapText="1"/>
    </xf>
    <xf borderId="1" fillId="0" fontId="5" numFmtId="165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horizontal="center" readingOrder="0" shrinkToFit="0" vertical="center" wrapText="1"/>
    </xf>
    <xf borderId="1" fillId="0" fontId="5" numFmtId="165" xfId="0" applyAlignment="1" applyBorder="1" applyFont="1" applyNumberFormat="1">
      <alignment horizontal="center" readingOrder="0" shrinkToFit="0" vertical="center" wrapText="1"/>
    </xf>
    <xf borderId="1" fillId="0" fontId="5" numFmtId="169" xfId="0" applyAlignment="1" applyBorder="1" applyFont="1" applyNumberFormat="1">
      <alignment horizontal="center" shrinkToFit="0" vertical="center" wrapText="1"/>
    </xf>
    <xf borderId="1" fillId="0" fontId="5" numFmtId="169" xfId="0" applyAlignment="1" applyBorder="1" applyFont="1" applyNumberForma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readingOrder="0"/>
    </xf>
    <xf borderId="1" fillId="0" fontId="5" numFmtId="170" xfId="0" applyAlignment="1" applyBorder="1" applyFont="1" applyNumberForma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0"/>
    </xf>
    <xf borderId="1" fillId="0" fontId="11" numFmtId="0" xfId="0" applyAlignment="1" applyBorder="1" applyFont="1">
      <alignment horizontal="center" readingOrder="0" shrinkToFit="0" vertical="center" wrapText="0"/>
    </xf>
    <xf borderId="1" fillId="0" fontId="12" numFmtId="0" xfId="0" applyAlignment="1" applyBorder="1" applyFont="1">
      <alignment horizontal="center" readingOrder="0" shrinkToFit="0" vertical="center" wrapText="0"/>
    </xf>
    <xf borderId="1" fillId="0" fontId="6" numFmtId="0" xfId="0" applyAlignment="1" applyBorder="1" applyFont="1">
      <alignment horizontal="center" shrinkToFit="0" vertical="center" wrapText="1"/>
    </xf>
    <xf borderId="1" fillId="0" fontId="4" numFmtId="165" xfId="0" applyAlignment="1" applyBorder="1" applyFont="1" applyNumberFormat="1">
      <alignment horizontal="center" shrinkToFit="0" vertical="center" wrapText="1"/>
    </xf>
    <xf borderId="1" fillId="0" fontId="4" numFmtId="164" xfId="0" applyAlignment="1" applyBorder="1" applyFont="1" applyNumberFormat="1">
      <alignment horizontal="center" shrinkToFit="0" vertical="center" wrapText="1"/>
    </xf>
    <xf borderId="1" fillId="6" fontId="4" numFmtId="0" xfId="0" applyAlignment="1" applyBorder="1" applyFill="1" applyFont="1">
      <alignment horizontal="center" readingOrder="0" shrinkToFit="0" vertical="center" wrapText="1"/>
    </xf>
    <xf borderId="1" fillId="7" fontId="6" numFmtId="2" xfId="0" applyAlignment="1" applyBorder="1" applyFill="1" applyFont="1" applyNumberFormat="1">
      <alignment horizontal="center" readingOrder="0" shrinkToFit="0" vertical="center" wrapText="1"/>
    </xf>
    <xf borderId="1" fillId="7" fontId="6" numFmtId="0" xfId="0" applyAlignment="1" applyBorder="1" applyFont="1">
      <alignment horizontal="center" readingOrder="0" shrinkToFit="0" vertical="center" wrapText="1"/>
    </xf>
    <xf borderId="1" fillId="7" fontId="6" numFmtId="10" xfId="0" applyAlignment="1" applyBorder="1" applyFont="1" applyNumberFormat="1">
      <alignment horizontal="center" readingOrder="0" shrinkToFit="0" vertical="center" wrapText="1"/>
    </xf>
    <xf borderId="1" fillId="7" fontId="6" numFmtId="168" xfId="0" applyAlignment="1" applyBorder="1" applyFont="1" applyNumberForma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wrapText="1"/>
    </xf>
    <xf borderId="1" fillId="0" fontId="6" numFmtId="167" xfId="0" applyAlignment="1" applyBorder="1" applyFont="1" applyNumberFormat="1">
      <alignment horizontal="center" readingOrder="0" shrinkToFit="0" vertical="center" wrapText="1"/>
    </xf>
    <xf borderId="1" fillId="0" fontId="6" numFmtId="167" xfId="0" applyAlignment="1" applyBorder="1" applyFont="1" applyNumberFormat="1">
      <alignment horizontal="center"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1" fillId="7" fontId="6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readingOrder="0" vertical="center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center" readingOrder="0" vertical="center"/>
    </xf>
    <xf borderId="0" fillId="0" fontId="16" numFmtId="0" xfId="0" applyAlignment="1" applyFont="1">
      <alignment horizontal="left" readingOrder="0"/>
    </xf>
    <xf borderId="0" fillId="8" fontId="17" numFmtId="0" xfId="0" applyAlignment="1" applyFill="1" applyFont="1">
      <alignment horizontal="left" readingOrder="0" shrinkToFit="0" vertical="center" wrapText="1"/>
    </xf>
    <xf borderId="1" fillId="8" fontId="17" numFmtId="0" xfId="0" applyAlignment="1" applyBorder="1" applyFont="1">
      <alignment horizontal="left" shrinkToFit="0" vertical="center" wrapText="1"/>
    </xf>
    <xf borderId="2" fillId="8" fontId="17" numFmtId="0" xfId="0" applyAlignment="1" applyBorder="1" applyFont="1">
      <alignment horizontal="center" shrinkToFit="0" vertical="center" wrapText="1"/>
    </xf>
    <xf borderId="3" fillId="8" fontId="17" numFmtId="0" xfId="0" applyAlignment="1" applyBorder="1" applyFont="1">
      <alignment horizontal="left" shrinkToFit="0" vertical="center" wrapText="1"/>
    </xf>
    <xf borderId="4" fillId="8" fontId="17" numFmtId="0" xfId="0" applyAlignment="1" applyBorder="1" applyFont="1">
      <alignment horizontal="center" readingOrder="0" shrinkToFit="0" vertical="center" wrapText="1"/>
    </xf>
    <xf borderId="4" fillId="8" fontId="17" numFmtId="0" xfId="0" applyAlignment="1" applyBorder="1" applyFont="1">
      <alignment horizontal="center" shrinkToFit="0" vertical="center" wrapText="1"/>
    </xf>
    <xf borderId="5" fillId="0" fontId="18" numFmtId="0" xfId="0" applyAlignment="1" applyBorder="1" applyFont="1">
      <alignment horizontal="left"/>
    </xf>
    <xf borderId="4" fillId="0" fontId="18" numFmtId="0" xfId="0" applyAlignment="1" applyBorder="1" applyFont="1">
      <alignment horizontal="center" readingOrder="0" shrinkToFit="0" vertical="center" wrapText="1"/>
    </xf>
    <xf borderId="4" fillId="0" fontId="18" numFmtId="0" xfId="0" applyAlignment="1" applyBorder="1" applyFont="1">
      <alignment horizontal="center" shrinkToFit="0" vertical="center" wrapText="1"/>
    </xf>
    <xf borderId="6" fillId="9" fontId="19" numFmtId="0" xfId="0" applyAlignment="1" applyBorder="1" applyFill="1" applyFont="1">
      <alignment horizontal="left"/>
    </xf>
    <xf borderId="4" fillId="10" fontId="18" numFmtId="0" xfId="0" applyAlignment="1" applyBorder="1" applyFill="1" applyFont="1">
      <alignment horizontal="center" shrinkToFit="0" vertical="center" wrapText="1"/>
    </xf>
    <xf borderId="3" fillId="0" fontId="18" numFmtId="0" xfId="0" applyAlignment="1" applyBorder="1" applyFont="1">
      <alignment horizontal="left" shrinkToFit="0" vertical="center" wrapText="1"/>
    </xf>
    <xf borderId="3" fillId="0" fontId="18" numFmtId="0" xfId="0" applyAlignment="1" applyBorder="1" applyFont="1">
      <alignment horizontal="left" readingOrder="0" shrinkToFit="0" vertical="center" wrapText="1"/>
    </xf>
    <xf borderId="4" fillId="10" fontId="18" numFmtId="0" xfId="0" applyAlignment="1" applyBorder="1" applyFont="1">
      <alignment horizontal="center" readingOrder="0" shrinkToFit="0" vertical="center" wrapText="1"/>
    </xf>
    <xf borderId="3" fillId="0" fontId="18" numFmtId="0" xfId="0" applyAlignment="1" applyBorder="1" applyFont="1">
      <alignment horizontal="left" shrinkToFit="0" vertical="center" wrapText="1"/>
    </xf>
    <xf borderId="3" fillId="10" fontId="18" numFmtId="0" xfId="0" applyAlignment="1" applyBorder="1" applyFont="1">
      <alignment horizontal="left" shrinkToFit="0" vertical="center" wrapText="1"/>
    </xf>
    <xf borderId="0" fillId="0" fontId="18" numFmtId="0" xfId="0" applyAlignment="1" applyFont="1">
      <alignment horizontal="left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shrinkToFit="0" vertical="center" wrapText="1"/>
    </xf>
    <xf borderId="7" fillId="11" fontId="20" numFmtId="0" xfId="0" applyAlignment="1" applyBorder="1" applyFill="1" applyFont="1">
      <alignment horizontal="center" readingOrder="0" shrinkToFit="0" vertical="center" wrapText="1"/>
    </xf>
    <xf borderId="8" fillId="11" fontId="20" numFmtId="0" xfId="0" applyAlignment="1" applyBorder="1" applyFont="1">
      <alignment horizontal="center" readingOrder="0" shrinkToFit="0" vertical="center" wrapText="1"/>
    </xf>
    <xf borderId="9" fillId="11" fontId="20" numFmtId="0" xfId="0" applyAlignment="1" applyBorder="1" applyFont="1">
      <alignment horizontal="left" readingOrder="0" shrinkToFit="0" vertical="center" wrapText="1"/>
    </xf>
    <xf borderId="7" fillId="11" fontId="21" numFmtId="0" xfId="0" applyAlignment="1" applyBorder="1" applyFont="1">
      <alignment horizontal="center" shrinkToFit="0" vertical="center" wrapText="1"/>
    </xf>
    <xf borderId="7" fillId="11" fontId="21" numFmtId="0" xfId="0" applyAlignment="1" applyBorder="1" applyFont="1">
      <alignment horizontal="center" readingOrder="0" shrinkToFit="0" vertical="center" wrapText="1"/>
    </xf>
    <xf borderId="7" fillId="6" fontId="18" numFmtId="0" xfId="0" applyAlignment="1" applyBorder="1" applyFont="1">
      <alignment horizontal="center" readingOrder="0" shrinkToFit="0" vertical="center" wrapText="1"/>
    </xf>
    <xf borderId="8" fillId="11" fontId="21" numFmtId="0" xfId="0" applyAlignment="1" applyBorder="1" applyFont="1">
      <alignment horizontal="center" readingOrder="0" shrinkToFit="0" vertical="center" wrapText="1"/>
    </xf>
    <xf borderId="10" fillId="0" fontId="22" numFmtId="0" xfId="0" applyBorder="1" applyFont="1"/>
    <xf borderId="9" fillId="0" fontId="22" numFmtId="0" xfId="0" applyBorder="1" applyFont="1"/>
    <xf borderId="7" fillId="11" fontId="20" numFmtId="0" xfId="0" applyAlignment="1" applyBorder="1" applyFont="1">
      <alignment horizontal="left" readingOrder="0" shrinkToFit="0" vertical="center" wrapText="1"/>
    </xf>
    <xf borderId="11" fillId="11" fontId="20" numFmtId="0" xfId="0" applyAlignment="1" applyBorder="1" applyFont="1">
      <alignment horizontal="center" readingOrder="0" shrinkToFit="0" vertical="center" wrapText="1"/>
    </xf>
    <xf borderId="11" fillId="11" fontId="20" numFmtId="0" xfId="0" applyAlignment="1" applyBorder="1" applyFont="1">
      <alignment horizontal="left" readingOrder="0" shrinkToFit="0" vertical="center" wrapText="1"/>
    </xf>
    <xf borderId="7" fillId="0" fontId="17" numFmtId="0" xfId="0" applyAlignment="1" applyBorder="1" applyFont="1">
      <alignment horizontal="center" shrinkToFit="0" vertical="center" wrapText="1"/>
    </xf>
    <xf borderId="7" fillId="0" fontId="18" numFmtId="0" xfId="0" applyAlignment="1" applyBorder="1" applyFont="1">
      <alignment horizontal="center" shrinkToFit="0" vertical="center" wrapText="1"/>
    </xf>
    <xf borderId="8" fillId="0" fontId="23" numFmtId="0" xfId="0" applyAlignment="1" applyBorder="1" applyFont="1">
      <alignment horizontal="center" readingOrder="0" shrinkToFit="0" vertical="center" wrapText="1"/>
    </xf>
    <xf borderId="7" fillId="0" fontId="24" numFmtId="0" xfId="0" applyAlignment="1" applyBorder="1" applyFont="1">
      <alignment horizontal="center" readingOrder="0" shrinkToFit="0" vertical="center" wrapText="1"/>
    </xf>
    <xf borderId="0" fillId="0" fontId="25" numFmtId="0" xfId="0" applyAlignment="1" applyFont="1">
      <alignment readingOrder="0"/>
    </xf>
    <xf borderId="8" fillId="0" fontId="17" numFmtId="0" xfId="0" applyAlignment="1" applyBorder="1" applyFont="1">
      <alignment horizontal="center" shrinkToFit="0" vertical="center" wrapText="1"/>
    </xf>
    <xf borderId="8" fillId="0" fontId="18" numFmtId="0" xfId="0" applyAlignment="1" applyBorder="1" applyFont="1">
      <alignment horizontal="left" readingOrder="0"/>
    </xf>
    <xf borderId="12" fillId="0" fontId="18" numFmtId="0" xfId="0" applyAlignment="1" applyBorder="1" applyFont="1">
      <alignment horizontal="center" readingOrder="0"/>
    </xf>
    <xf borderId="13" fillId="0" fontId="18" numFmtId="0" xfId="0" applyAlignment="1" applyBorder="1" applyFont="1">
      <alignment horizontal="center" readingOrder="0"/>
    </xf>
    <xf borderId="14" fillId="0" fontId="18" numFmtId="0" xfId="0" applyAlignment="1" applyBorder="1" applyFont="1">
      <alignment horizontal="left" readingOrder="0"/>
    </xf>
    <xf borderId="15" fillId="0" fontId="18" numFmtId="0" xfId="0" applyAlignment="1" applyBorder="1" applyFont="1">
      <alignment horizontal="center" readingOrder="0" shrinkToFit="0" vertical="center" wrapText="1"/>
    </xf>
    <xf borderId="9" fillId="0" fontId="18" numFmtId="0" xfId="0" applyAlignment="1" applyBorder="1" applyFont="1">
      <alignment horizontal="center" shrinkToFit="0" vertical="center" wrapText="1"/>
    </xf>
    <xf borderId="7" fillId="0" fontId="26" numFmtId="0" xfId="0" applyAlignment="1" applyBorder="1" applyFont="1">
      <alignment horizontal="center" shrinkToFit="0" wrapText="1"/>
    </xf>
    <xf borderId="9" fillId="0" fontId="26" numFmtId="0" xfId="0" applyAlignment="1" applyBorder="1" applyFont="1">
      <alignment horizontal="center" shrinkToFit="0" wrapText="1"/>
    </xf>
    <xf borderId="8" fillId="0" fontId="17" numFmtId="0" xfId="0" applyAlignment="1" applyBorder="1" applyFont="1">
      <alignment horizontal="center" readingOrder="0" shrinkToFit="0" vertical="center" wrapText="1"/>
    </xf>
    <xf borderId="16" fillId="0" fontId="18" numFmtId="0" xfId="0" applyAlignment="1" applyBorder="1" applyFont="1">
      <alignment horizontal="center" readingOrder="0"/>
    </xf>
    <xf borderId="17" fillId="0" fontId="18" numFmtId="0" xfId="0" applyAlignment="1" applyBorder="1" applyFont="1">
      <alignment horizontal="center" readingOrder="0"/>
    </xf>
    <xf borderId="7" fillId="0" fontId="18" numFmtId="0" xfId="0" applyAlignment="1" applyBorder="1" applyFont="1">
      <alignment horizontal="left" readingOrder="0"/>
    </xf>
    <xf borderId="18" fillId="0" fontId="18" numFmtId="0" xfId="0" applyAlignment="1" applyBorder="1" applyFont="1">
      <alignment horizontal="center" readingOrder="0" shrinkToFit="0" vertical="center" wrapText="1"/>
    </xf>
    <xf borderId="19" fillId="0" fontId="26" numFmtId="0" xfId="0" applyAlignment="1" applyBorder="1" applyFont="1">
      <alignment horizontal="center" shrinkToFit="0" wrapText="1"/>
    </xf>
    <xf borderId="20" fillId="0" fontId="26" numFmtId="0" xfId="0" applyAlignment="1" applyBorder="1" applyFont="1">
      <alignment horizontal="center" shrinkToFit="0" wrapText="1"/>
    </xf>
    <xf borderId="7" fillId="0" fontId="17" numFmtId="0" xfId="0" applyAlignment="1" applyBorder="1" applyFont="1">
      <alignment horizontal="center" readingOrder="0" shrinkToFit="0" vertical="center" wrapText="1"/>
    </xf>
    <xf borderId="7" fillId="0" fontId="19" numFmtId="0" xfId="0" applyAlignment="1" applyBorder="1" applyFont="1">
      <alignment horizontal="left" readingOrder="0"/>
    </xf>
    <xf borderId="7" fillId="0" fontId="18" numFmtId="0" xfId="0" applyAlignment="1" applyBorder="1" applyFont="1">
      <alignment horizontal="center" readingOrder="0" shrinkToFit="0" vertical="center" wrapText="1"/>
    </xf>
    <xf borderId="11" fillId="0" fontId="18" numFmtId="0" xfId="0" applyAlignment="1" applyBorder="1" applyFont="1">
      <alignment horizontal="center" readingOrder="0" shrinkToFit="0" vertical="center" wrapText="1"/>
    </xf>
    <xf borderId="8" fillId="12" fontId="18" numFmtId="0" xfId="0" applyAlignment="1" applyBorder="1" applyFill="1" applyFont="1">
      <alignment horizontal="left" readingOrder="0" shrinkToFit="0" vertical="center" wrapText="1"/>
    </xf>
    <xf borderId="9" fillId="6" fontId="18" numFmtId="0" xfId="0" applyAlignment="1" applyBorder="1" applyFont="1">
      <alignment horizontal="center" shrinkToFit="0" vertical="center" wrapText="1"/>
    </xf>
    <xf borderId="7" fillId="6" fontId="18" numFmtId="0" xfId="0" applyAlignment="1" applyBorder="1" applyFont="1">
      <alignment horizontal="center" shrinkToFit="0" vertical="center" wrapText="1"/>
    </xf>
    <xf borderId="8" fillId="6" fontId="18" numFmtId="0" xfId="0" applyAlignment="1" applyBorder="1" applyFont="1">
      <alignment horizontal="center" shrinkToFit="0" vertical="center" wrapText="1"/>
    </xf>
    <xf borderId="1" fillId="6" fontId="18" numFmtId="0" xfId="0" applyAlignment="1" applyBorder="1" applyFont="1">
      <alignment horizontal="center" readingOrder="0" shrinkToFit="0" vertical="center" wrapText="1"/>
    </xf>
    <xf borderId="1" fillId="6" fontId="27" numFmtId="0" xfId="0" applyBorder="1" applyFont="1"/>
    <xf borderId="1" fillId="6" fontId="18" numFmtId="0" xfId="0" applyAlignment="1" applyBorder="1" applyFont="1">
      <alignment horizontal="center" shrinkToFit="0" vertical="center" wrapText="1"/>
    </xf>
    <xf borderId="16" fillId="12" fontId="18" numFmtId="0" xfId="0" applyAlignment="1" applyBorder="1" applyFont="1">
      <alignment horizontal="center" readingOrder="0" shrinkToFit="0" vertical="center" wrapText="1"/>
    </xf>
    <xf borderId="7" fillId="12" fontId="18" numFmtId="0" xfId="0" applyAlignment="1" applyBorder="1" applyFont="1">
      <alignment horizontal="center" readingOrder="0" shrinkToFit="0" vertical="center" wrapText="1"/>
    </xf>
    <xf borderId="7" fillId="12" fontId="18" numFmtId="0" xfId="0" applyAlignment="1" applyBorder="1" applyFont="1">
      <alignment horizontal="left" readingOrder="0" shrinkToFit="0" vertical="center" wrapText="1"/>
    </xf>
    <xf borderId="18" fillId="12" fontId="18" numFmtId="0" xfId="0" applyAlignment="1" applyBorder="1" applyFont="1">
      <alignment horizontal="center" readingOrder="0" shrinkToFit="0" vertical="center" wrapText="1"/>
    </xf>
    <xf borderId="7" fillId="6" fontId="18" numFmtId="0" xfId="0" applyAlignment="1" applyBorder="1" applyFont="1">
      <alignment horizontal="center" shrinkToFit="0" vertical="center" wrapText="1"/>
    </xf>
    <xf borderId="19" fillId="6" fontId="18" numFmtId="0" xfId="0" applyAlignment="1" applyBorder="1" applyFont="1">
      <alignment horizontal="center" shrinkToFit="0" vertical="center" wrapText="1"/>
    </xf>
    <xf borderId="8" fillId="13" fontId="18" numFmtId="0" xfId="0" applyAlignment="1" applyBorder="1" applyFill="1" applyFont="1">
      <alignment horizontal="left" readingOrder="0" shrinkToFit="0" vertical="center" wrapText="1"/>
    </xf>
    <xf borderId="18" fillId="12" fontId="18" numFmtId="0" xfId="0" applyAlignment="1" applyBorder="1" applyFont="1">
      <alignment horizontal="center" shrinkToFit="0" vertical="center" wrapText="1"/>
    </xf>
    <xf borderId="16" fillId="13" fontId="18" numFmtId="0" xfId="0" applyAlignment="1" applyBorder="1" applyFont="1">
      <alignment horizontal="center" readingOrder="0" shrinkToFit="0" vertical="center" wrapText="1"/>
    </xf>
    <xf borderId="7" fillId="13" fontId="18" numFmtId="0" xfId="0" applyAlignment="1" applyBorder="1" applyFont="1">
      <alignment horizontal="center" readingOrder="0" shrinkToFit="0" vertical="center" wrapText="1"/>
    </xf>
    <xf borderId="7" fillId="13" fontId="18" numFmtId="0" xfId="0" applyAlignment="1" applyBorder="1" applyFont="1">
      <alignment horizontal="left" readingOrder="0" shrinkToFit="0" vertical="center" wrapText="1"/>
    </xf>
    <xf borderId="18" fillId="13" fontId="18" numFmtId="0" xfId="0" applyAlignment="1" applyBorder="1" applyFont="1">
      <alignment horizontal="center" shrinkToFit="0" vertical="center" wrapText="1"/>
    </xf>
    <xf borderId="8" fillId="14" fontId="18" numFmtId="0" xfId="0" applyAlignment="1" applyBorder="1" applyFill="1" applyFont="1">
      <alignment horizontal="left" readingOrder="0" shrinkToFit="0" vertical="center" wrapText="1"/>
    </xf>
    <xf borderId="18" fillId="13" fontId="18" numFmtId="0" xfId="0" applyAlignment="1" applyBorder="1" applyFont="1">
      <alignment horizontal="center" readingOrder="0" shrinkToFit="0" vertical="center" wrapText="1"/>
    </xf>
    <xf borderId="16" fillId="14" fontId="18" numFmtId="0" xfId="0" applyAlignment="1" applyBorder="1" applyFont="1">
      <alignment horizontal="center" readingOrder="0" shrinkToFit="0" vertical="center" wrapText="1"/>
    </xf>
    <xf borderId="7" fillId="14" fontId="18" numFmtId="0" xfId="0" applyAlignment="1" applyBorder="1" applyFont="1">
      <alignment horizontal="center" readingOrder="0" shrinkToFit="0" vertical="center" wrapText="1"/>
    </xf>
    <xf borderId="7" fillId="14" fontId="18" numFmtId="0" xfId="0" applyAlignment="1" applyBorder="1" applyFont="1">
      <alignment horizontal="left" readingOrder="0" shrinkToFit="0" vertical="center" wrapText="1"/>
    </xf>
    <xf borderId="18" fillId="14" fontId="18" numFmtId="0" xfId="0" applyAlignment="1" applyBorder="1" applyFont="1">
      <alignment horizontal="center" shrinkToFit="0" vertical="center" wrapText="1"/>
    </xf>
    <xf borderId="8" fillId="15" fontId="18" numFmtId="0" xfId="0" applyAlignment="1" applyBorder="1" applyFill="1" applyFont="1">
      <alignment horizontal="left" readingOrder="0" shrinkToFit="0" vertical="center" wrapText="1"/>
    </xf>
    <xf borderId="18" fillId="14" fontId="18" numFmtId="0" xfId="0" applyAlignment="1" applyBorder="1" applyFont="1">
      <alignment horizontal="center" readingOrder="0" shrinkToFit="0" vertical="center" wrapText="1"/>
    </xf>
    <xf borderId="8" fillId="0" fontId="18" numFmtId="0" xfId="0" applyAlignment="1" applyBorder="1" applyFont="1">
      <alignment horizontal="left" readingOrder="0" shrinkToFit="0" vertical="center" wrapText="1"/>
    </xf>
    <xf borderId="16" fillId="15" fontId="18" numFmtId="0" xfId="0" applyAlignment="1" applyBorder="1" applyFont="1">
      <alignment horizontal="center" readingOrder="0" shrinkToFit="0" vertical="center" wrapText="1"/>
    </xf>
    <xf borderId="7" fillId="15" fontId="18" numFmtId="0" xfId="0" applyAlignment="1" applyBorder="1" applyFont="1">
      <alignment horizontal="center" readingOrder="0" shrinkToFit="0" vertical="center" wrapText="1"/>
    </xf>
    <xf borderId="7" fillId="15" fontId="18" numFmtId="0" xfId="0" applyAlignment="1" applyBorder="1" applyFont="1">
      <alignment horizontal="left" readingOrder="0" shrinkToFit="0" vertical="center" wrapText="1"/>
    </xf>
    <xf borderId="18" fillId="15" fontId="18" numFmtId="0" xfId="0" applyAlignment="1" applyBorder="1" applyFont="1">
      <alignment horizontal="center" readingOrder="0" shrinkToFit="0" vertical="center" wrapText="1"/>
    </xf>
    <xf borderId="16" fillId="0" fontId="18" numFmtId="0" xfId="0" applyAlignment="1" applyBorder="1" applyFont="1">
      <alignment horizontal="center" readingOrder="0" shrinkToFit="0" vertical="center" wrapText="1"/>
    </xf>
    <xf borderId="7" fillId="0" fontId="18" numFmtId="0" xfId="0" applyAlignment="1" applyBorder="1" applyFont="1">
      <alignment horizontal="left" readingOrder="0" shrinkToFit="0" vertical="center" wrapText="1"/>
    </xf>
    <xf borderId="18" fillId="0" fontId="18" numFmtId="0" xfId="0" applyAlignment="1" applyBorder="1" applyFont="1">
      <alignment horizontal="center" shrinkToFit="0" vertical="center" wrapText="1"/>
    </xf>
    <xf borderId="21" fillId="0" fontId="18" numFmtId="0" xfId="0" applyAlignment="1" applyBorder="1" applyFont="1">
      <alignment horizontal="center" readingOrder="0" shrinkToFit="0" vertical="center" wrapText="1"/>
    </xf>
    <xf borderId="11" fillId="0" fontId="18" numFmtId="0" xfId="0" applyAlignment="1" applyBorder="1" applyFont="1">
      <alignment horizontal="left" readingOrder="0" shrinkToFit="0" vertical="center" wrapText="1"/>
    </xf>
    <xf borderId="22" fillId="0" fontId="18" numFmtId="0" xfId="0" applyAlignment="1" applyBorder="1" applyFont="1">
      <alignment horizontal="center" shrinkToFit="0" vertical="center" wrapText="1"/>
    </xf>
    <xf borderId="14" fillId="0" fontId="18" numFmtId="0" xfId="0" applyAlignment="1" applyBorder="1" applyFont="1">
      <alignment horizontal="center" readingOrder="0"/>
    </xf>
    <xf borderId="7" fillId="0" fontId="18" numFmtId="0" xfId="0" applyAlignment="1" applyBorder="1" applyFont="1">
      <alignment horizontal="center" readingOrder="0"/>
    </xf>
    <xf borderId="7" fillId="0" fontId="18" numFmtId="0" xfId="0" applyAlignment="1" applyBorder="1" applyFont="1">
      <alignment horizontal="left"/>
    </xf>
    <xf borderId="19" fillId="0" fontId="26" numFmtId="0" xfId="0" applyAlignment="1" applyBorder="1" applyFont="1">
      <alignment horizontal="center" shrinkToFit="0" wrapText="1"/>
    </xf>
    <xf borderId="23" fillId="0" fontId="18" numFmtId="0" xfId="0" applyAlignment="1" applyBorder="1" applyFont="1">
      <alignment horizontal="center" readingOrder="0" shrinkToFit="0" vertical="center" wrapText="1"/>
    </xf>
    <xf borderId="9" fillId="0" fontId="18" numFmtId="0" xfId="0" applyAlignment="1" applyBorder="1" applyFont="1">
      <alignment horizontal="center" readingOrder="0"/>
    </xf>
    <xf borderId="20" fillId="0" fontId="26" numFmtId="0" xfId="0" applyAlignment="1" applyBorder="1" applyFont="1">
      <alignment horizontal="center" shrinkToFit="0" wrapText="1"/>
    </xf>
    <xf borderId="7" fillId="0" fontId="24" numFmtId="0" xfId="0" applyAlignment="1" applyBorder="1" applyFont="1">
      <alignment horizontal="center" shrinkToFit="0" vertical="center" wrapText="1"/>
    </xf>
    <xf borderId="24" fillId="0" fontId="18" numFmtId="0" xfId="0" applyAlignment="1" applyBorder="1" applyFont="1">
      <alignment horizontal="center" readingOrder="0"/>
    </xf>
    <xf borderId="25" fillId="0" fontId="18" numFmtId="0" xfId="0" applyAlignment="1" applyBorder="1" applyFont="1">
      <alignment horizontal="center" readingOrder="0"/>
    </xf>
    <xf borderId="25" fillId="0" fontId="18" numFmtId="0" xfId="0" applyAlignment="1" applyBorder="1" applyFont="1">
      <alignment horizontal="left" readingOrder="0" shrinkToFit="0" vertical="center" wrapText="1"/>
    </xf>
    <xf borderId="7" fillId="0" fontId="18" numFmtId="0" xfId="0" applyAlignment="1" applyBorder="1" applyFont="1">
      <alignment horizontal="left" shrinkToFit="0" vertical="center" wrapText="1"/>
    </xf>
    <xf borderId="7" fillId="0" fontId="18" numFmtId="0" xfId="0" applyAlignment="1" applyBorder="1" applyFont="1">
      <alignment horizontal="center" shrinkToFit="0" vertical="center" wrapText="1"/>
    </xf>
    <xf borderId="0" fillId="16" fontId="28" numFmtId="0" xfId="0" applyAlignment="1" applyFill="1" applyFont="1">
      <alignment readingOrder="0"/>
    </xf>
    <xf borderId="0" fillId="16" fontId="28" numFmtId="0" xfId="0" applyFont="1"/>
    <xf borderId="0" fillId="0" fontId="27" numFmtId="0" xfId="0" applyFont="1"/>
    <xf borderId="0" fillId="0" fontId="25" numFmtId="0" xfId="0" applyFont="1"/>
    <xf borderId="0" fillId="0" fontId="27" numFmtId="170" xfId="0" applyFont="1" applyNumberFormat="1"/>
    <xf borderId="0" fillId="0" fontId="27" numFmtId="171" xfId="0" applyFont="1" applyNumberFormat="1"/>
    <xf borderId="0" fillId="0" fontId="27" numFmtId="172" xfId="0" applyFont="1" applyNumberFormat="1"/>
    <xf borderId="0" fillId="0" fontId="27" numFmtId="0" xfId="0" applyAlignment="1" applyFont="1">
      <alignment readingOrder="0"/>
    </xf>
    <xf borderId="0" fillId="0" fontId="27" numFmtId="1" xfId="0" applyFont="1" applyNumberFormat="1"/>
  </cellXfs>
  <cellStyles count="1">
    <cellStyle xfId="0" name="Normal" builtinId="0"/>
  </cellStyles>
  <dxfs count="3">
    <dxf>
      <font>
        <color rgb="FFFF0000"/>
      </font>
      <fill>
        <patternFill patternType="none"/>
      </fill>
      <border/>
    </dxf>
    <dxf>
      <font>
        <b/>
        <color rgb="FF6AA84F"/>
      </font>
      <fill>
        <patternFill patternType="none"/>
      </fill>
      <border/>
    </dxf>
    <dxf>
      <font>
        <b/>
        <color rgb="FFFF99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19</xdr:row>
      <xdr:rowOff>38100</xdr:rowOff>
    </xdr:from>
    <xdr:ext cx="5229225" cy="78105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CctebYamFWWhbr2csdI_rDI9xhtVGX2v/edit" TargetMode="External"/><Relationship Id="rId3" Type="http://schemas.openxmlformats.org/officeDocument/2006/relationships/hyperlink" Target="https://pdm.strana.com/proekt/ProjLib/00%20%D0%92%D1%8B%D0%BF%D1%83%D1%81%D0%BA/%D0%A1.%20%D0%98%D1%80%D0%B1%D0%B8%D1%82%D1%81%D0%BA%D0%B0%D1%8F/01_%D0%9E%D0%B1%D1%8A%D0%B5%D0%BA%D1%82%D1%8B/%D0%93%D0%9F-2/06_%D0%A0%D0%94/04.1_%D0%9A%D0%96/02_%D0%9A%D0%961/02_%D0%9A%D0%961.2/02_%D0%9A%D0%961.2.%D0%9F/%D0%98%D0%B7%D0%BC.0/05_%D0%A0%D0%B0%D1%81%D1%87%D0%B5%D1%82%D0%BD%D0%BE%D0%B5%20%D0%BE%D0%B1%D0%BE%D1%81%D0%BD%D0%BE%D0%B2%D0%B0%D0%BD%D0%B8%D0%B5/01_%D0%9B%D0%BE%D0%BA%D0%B0%D0%BB%D1%8C%D0%BD%D1%8B%D0%B5%20%D1%80%D0%B0%D1%81%D1%87%D0%B5%D1%82%D1%8B/%D0%BA%D0%B0%D0%BB%D1%8C%D0%BA%D0%B8%20%D0%B8%20%D0%BF%D1%80%D0%BE%D0%B4%D0%B0%D0%B2%D0%BB%D0%B8%D0%B2%D0%B0%D0%BD%D0%B8%D0%B5%20%D0%A11.1" TargetMode="External"/><Relationship Id="rId4" Type="http://schemas.openxmlformats.org/officeDocument/2006/relationships/hyperlink" Target="https://pdm.strana.com/proekt/ProjLib/00%20%D0%92%D1%8B%D0%BF%D1%83%D1%81%D0%BA/%D0%A1.%20%D0%98%D1%80%D0%B1%D0%B8%D1%82%D1%81%D0%BA%D0%B0%D1%8F/01_%D0%9E%D0%B1%D1%8A%D0%B5%D0%BA%D1%82%D1%8B/%D0%93%D0%9F-2/06_%D0%A0%D0%94/04.1_%D0%9A%D0%96/03_%D0%9A%D0%962/02_%D0%9A%D0%962.1.%D0%9F/01_%D0%9A%D0%962.1.%D0%9F1/%D0%98%D0%B7%D0%BC.0/05_%D0%A0%D0%B0%D1%81%D1%87%D0%B5%D1%82%D0%BD%D0%BE%D0%B5%20%D0%BE%D0%B1%D0%BE%D1%81%D0%BD%D0%BE%D0%B2%D0%B0%D0%BD%D0%B8%D0%B5/01_%D0%9B%D0%BE%D0%BA%D0%B0%D0%BB%D1%8C%D0%BD%D1%8B%D0%B5%20%D1%80%D0%B0%D1%81%D1%87%D0%B5%D1%82%D1%8B/%D0%A1%D0%B5%D0%BA%D1%86%D0%B8%D1%8F%201%20%D0%98%D0%B7%D0%BE%D0%BF%D0%BE%D0%BB%D1%8F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pdm.strana.com/proekt/ProjLib/00%20%D0%92%D1%8B%D0%BF%D1%83%D1%81%D0%BA/%D0%A1.%20%D0%98%D1%80%D0%B1%D0%B8%D1%82%D1%81%D0%BA%D0%B0%D1%8F/01_%D0%9E%D0%B1%D1%8A%D0%B5%D0%BA%D1%82%D1%8B/%D0%93%D0%9F-2/06_%D0%A0%D0%94/04.1_%D0%9A%D0%96/03_%D0%9A%D0%962/02_%D0%9A%D0%962.1.%D0%9F/02_%D0%9A%D0%962.1.%D0%9F2/%D0%98%D0%B7%D0%BC.0/05_%D0%A0%D0%B0%D1%81%D1%87%D0%B5%D1%82%D0%BD%D0%BE%D0%B5%20%D0%BE%D0%B1%D0%BE%D1%81%D0%BD%D0%BE%D0%B2%D0%B0%D0%BD%D0%B8%D0%B5/01_%D0%9B%D0%BE%D0%BA%D0%B0%D0%BB%D1%8C%D0%BD%D1%8B%D0%B5%20%D1%80%D0%B0%D1%81%D1%87%D0%B5%D1%82%D1%8B/%D0%A1%D0%B5%D0%BA%D1%86%D0%B8%D1%8F%203%20%D0%98%D0%B7%D0%BE%D0%BF%D0%BE%D0%BB%D1%8F" TargetMode="External"/><Relationship Id="rId12" Type="http://schemas.openxmlformats.org/officeDocument/2006/relationships/vmlDrawing" Target="../drawings/vmlDrawing1.vml"/><Relationship Id="rId9" Type="http://schemas.openxmlformats.org/officeDocument/2006/relationships/hyperlink" Target="https://pdm.strana.com/proekt/ProjLib/00%20%D0%92%D1%8B%D0%BF%D1%83%D1%81%D0%BA/%D0%A1.%20%D0%98%D1%80%D0%B1%D0%B8%D1%82%D1%81%D0%BA%D0%B0%D1%8F/01_%D0%9E%D0%B1%D1%8A%D0%B5%D0%BA%D1%82%D1%8B/%D0%93%D0%9F-2/06_%D0%A0%D0%94/04.1_%D0%9A%D0%96/03_%D0%9A%D0%962/02_%D0%9A%D0%962.1.%D0%9F/02_%D0%9A%D0%962.1.%D0%9F2/%D0%98%D0%B7%D0%BC.0/05_%D0%A0%D0%B0%D1%81%D1%87%D0%B5%D1%82%D0%BD%D0%BE%D0%B5%20%D0%BE%D0%B1%D0%BE%D1%81%D0%BD%D0%BE%D0%B2%D0%B0%D0%BD%D0%B8%D0%B5/01_%D0%9B%D0%BE%D0%BA%D0%B0%D0%BB%D1%8C%D0%BD%D1%8B%D0%B5%20%D1%80%D0%B0%D1%81%D1%87%D0%B5%D1%82%D1%8B/%D0%A1%D0%B5%D0%BA%D1%86%D0%B8%D1%8F%202%20%D0%98%D0%B7%D0%BE%D0%BF%D0%BE%D0%BB%D1%8F" TargetMode="External"/><Relationship Id="rId5" Type="http://schemas.openxmlformats.org/officeDocument/2006/relationships/hyperlink" Target="https://pdm.strana.com/proekt/ProjLib/00%20%D0%92%D1%8B%D0%BF%D1%83%D1%81%D0%BA/%D0%A1.%20%D0%98%D1%80%D0%B1%D0%B8%D1%82%D1%81%D0%BA%D0%B0%D1%8F/01_%D0%9E%D0%B1%D1%8A%D0%B5%D0%BA%D1%82%D1%8B/%D0%93%D0%9F-2/06_%D0%A0%D0%94/04.1_%D0%9A%D0%96/03_%D0%9A%D0%962/02_%D0%9A%D0%962.1.%D0%9F/01_%D0%9A%D0%962.1.%D0%9F1/%D0%98%D0%B7%D0%BC.0/05_%D0%A0%D0%B0%D1%81%D1%87%D0%B5%D1%82%D0%BD%D0%BE%D0%B5%20%D0%BE%D0%B1%D0%BE%D1%81%D0%BD%D0%BE%D0%B2%D0%B0%D0%BD%D0%B8%D0%B5/01_%D0%9B%D0%BE%D0%BA%D0%B0%D0%BB%D1%8C%D0%BD%D1%8B%D0%B5%20%D1%80%D0%B0%D1%81%D1%87%D0%B5%D1%82%D1%8B/%D0%A1%D0%B5%D0%BA%D1%86%D0%B8%D1%8F%201.2%20%D0%98%D0%B7%D0%BE%D0%BF%D0%BE%D0%BB%D1%8F" TargetMode="External"/><Relationship Id="rId6" Type="http://schemas.openxmlformats.org/officeDocument/2006/relationships/hyperlink" Target="https://pdm.strana.com/proekt/ProjLib/00%20%D0%92%D1%8B%D0%BF%D1%83%D1%81%D0%BA/%D0%A1.%20%D0%98%D1%80%D0%B1%D0%B8%D1%82%D1%81%D0%BA%D0%B0%D1%8F/01_%D0%9E%D0%B1%D1%8A%D0%B5%D0%BA%D1%82%D1%8B/%D0%93%D0%9F-2/06_%D0%A0%D0%94/04.1_%D0%9A%D0%96/03_%D0%9A%D0%962/02_%D0%9A%D0%962.1.%D0%9F/01_%D0%9A%D0%962.1.%D0%9F1/%D0%98%D0%B7%D0%BC.0/05_%D0%A0%D0%B0%D1%81%D1%87%D0%B5%D1%82%D0%BD%D0%BE%D0%B5%20%D0%BE%D0%B1%D0%BE%D1%81%D0%BD%D0%BE%D0%B2%D0%B0%D0%BD%D0%B8%D0%B5/01_%D0%9B%D0%BE%D0%BA%D0%B0%D0%BB%D1%8C%D0%BD%D1%8B%D0%B5%20%D1%80%D0%B0%D1%81%D1%87%D0%B5%D1%82%D1%8B/%D0%A1%D0%B5%D0%BA%D1%86%D0%B8%D1%8F%202%20%D0%98%D0%B7%D0%BE%D0%BF%D0%BE%D0%BB%D1%8F" TargetMode="External"/><Relationship Id="rId7" Type="http://schemas.openxmlformats.org/officeDocument/2006/relationships/hyperlink" Target="https://pdm.strana.com/proekt/ProjLib/00%20%D0%92%D1%8B%D0%BF%D1%83%D1%81%D0%BA/%D0%A1.%20%D0%98%D1%80%D0%B1%D0%B8%D1%82%D1%81%D0%BA%D0%B0%D1%8F/01_%D0%9E%D0%B1%D1%8A%D0%B5%D0%BA%D1%82%D1%8B/%D0%93%D0%9F-2/06_%D0%A0%D0%94/04.1_%D0%9A%D0%96/03_%D0%9A%D0%962/02_%D0%9A%D0%962.1.%D0%9F/01_%D0%9A%D0%962.1.%D0%9F1/%D0%98%D0%B7%D0%BC.0/05_%D0%A0%D0%B0%D1%81%D1%87%D0%B5%D1%82%D0%BD%D0%BE%D0%B5%20%D0%BE%D0%B1%D0%BE%D1%81%D0%BD%D0%BE%D0%B2%D0%B0%D0%BD%D0%B8%D0%B5/01_%D0%9B%D0%BE%D0%BA%D0%B0%D0%BB%D1%8C%D0%BD%D1%8B%D0%B5%20%D1%80%D0%B0%D1%81%D1%87%D0%B5%D1%82%D1%8B/%D0%A1%D0%B5%D0%BA%D1%86%D0%B8%D1%8F%203%20%D0%98%D0%B7%D0%BE%D0%BF%D0%BE%D0%BB%D1%8F" TargetMode="External"/><Relationship Id="rId8" Type="http://schemas.openxmlformats.org/officeDocument/2006/relationships/hyperlink" Target="https://pdm.strana.com/proekt/ProjLib/00%20%D0%92%D1%8B%D0%BF%D1%83%D1%81%D0%BA/%D0%A1.%20%D0%98%D1%80%D0%B1%D0%B8%D1%82%D1%81%D0%BA%D0%B0%D1%8F/01_%D0%9E%D0%B1%D1%8A%D0%B5%D0%BA%D1%82%D1%8B/%D0%93%D0%9F-2/06_%D0%A0%D0%94/04.1_%D0%9A%D0%96/03_%D0%9A%D0%962/02_%D0%9A%D0%962.1.%D0%9F/02_%D0%9A%D0%962.1.%D0%9F2/%D0%98%D0%B7%D0%BC.0/05_%D0%A0%D0%B0%D1%81%D1%87%D0%B5%D1%82%D0%BD%D0%BE%D0%B5%20%D0%BE%D0%B1%D0%BE%D1%81%D0%BD%D0%BE%D0%B2%D0%B0%D0%BD%D0%B8%D0%B5/01_%D0%9B%D0%BE%D0%BA%D0%B0%D0%BB%D1%8C%D0%BD%D1%8B%D0%B5%20%D1%80%D0%B0%D1%81%D1%87%D0%B5%D1%82%D1%8B/%D0%A1%D0%B5%D0%BA%D1%86%D0%B8%D1%8F%201%20%D0%98%D0%B7%D0%BE%D0%BF%D0%BE%D0%BB%D1%8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0"/>
    <col customWidth="1" min="2" max="2" width="23.0"/>
    <col customWidth="1" min="3" max="3" width="11.29"/>
    <col customWidth="1" min="4" max="4" width="8.14"/>
    <col customWidth="1" min="5" max="5" width="13.0"/>
    <col customWidth="1" min="6" max="6" width="13.86"/>
    <col customWidth="1" min="7" max="7" width="19.43"/>
    <col customWidth="1" min="8" max="8" width="7.43"/>
    <col customWidth="1" min="9" max="10" width="12.71"/>
    <col customWidth="1" min="11" max="11" width="21.57"/>
    <col customWidth="1" min="12" max="15" width="9.0"/>
    <col customWidth="1" min="16" max="16" width="11.29"/>
    <col customWidth="1" min="17" max="17" width="13.43"/>
    <col customWidth="1" min="18" max="18" width="12.57"/>
    <col customWidth="1" min="19" max="19" width="15.71"/>
    <col customWidth="1" min="20" max="20" width="16.0"/>
    <col customWidth="1" min="21" max="21" width="33.29"/>
    <col customWidth="1" min="22" max="22" width="13.0"/>
    <col customWidth="1" min="23" max="23" width="39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2" t="s">
        <v>15</v>
      </c>
      <c r="Q1" s="4" t="s">
        <v>16</v>
      </c>
      <c r="R1" s="6" t="s">
        <v>17</v>
      </c>
      <c r="S1" s="6" t="s">
        <v>18</v>
      </c>
      <c r="T1" s="7" t="s">
        <v>19</v>
      </c>
      <c r="U1" s="6" t="s">
        <v>20</v>
      </c>
      <c r="V1" s="8" t="s">
        <v>21</v>
      </c>
      <c r="W1" s="6" t="s">
        <v>22</v>
      </c>
    </row>
    <row r="2">
      <c r="A2" s="9"/>
      <c r="B2" s="10"/>
      <c r="C2" s="10"/>
      <c r="D2" s="11"/>
      <c r="E2" s="11"/>
      <c r="F2" s="9"/>
      <c r="G2" s="9"/>
      <c r="H2" s="12"/>
      <c r="I2" s="11"/>
      <c r="J2" s="11"/>
      <c r="K2" s="12"/>
      <c r="L2" s="11"/>
      <c r="M2" s="11"/>
      <c r="N2" s="11"/>
      <c r="O2" s="13"/>
      <c r="P2" s="9"/>
      <c r="Q2" s="12"/>
      <c r="R2" s="9"/>
      <c r="S2" s="9"/>
      <c r="T2" s="14"/>
      <c r="U2" s="9"/>
      <c r="V2" s="15"/>
      <c r="W2" s="9"/>
    </row>
    <row r="3">
      <c r="A3" s="16" t="s">
        <v>23</v>
      </c>
      <c r="B3" s="16" t="s">
        <v>24</v>
      </c>
      <c r="C3" s="16" t="s">
        <v>25</v>
      </c>
      <c r="D3" s="17">
        <v>44958.0</v>
      </c>
      <c r="E3" s="18">
        <v>11.0</v>
      </c>
      <c r="F3" s="19" t="s">
        <v>26</v>
      </c>
      <c r="G3" s="19"/>
      <c r="H3" s="20" t="s">
        <v>27</v>
      </c>
      <c r="I3" s="21">
        <v>45114.0</v>
      </c>
      <c r="J3" s="21"/>
      <c r="K3" s="20" t="s">
        <v>28</v>
      </c>
      <c r="L3" s="18"/>
      <c r="M3" s="18"/>
      <c r="N3" s="18"/>
      <c r="O3" s="22">
        <v>79.34</v>
      </c>
      <c r="P3" s="23">
        <f>IFERROR(__xludf.DUMMYFUNCTION("IFERROR(IFS(O3="""","""",O3&lt;&gt;"""",FILTER('Нормативные показатели (рабочая'!$G:$G,'Нормативные показатели (рабочая'!$F:$F=$C3,'Нормативные показатели (рабочая'!$B:$B&lt;=$E3,'Нормативные показатели (рабочая'!$C:$C&gt;=$E3,'Нормативные показатели (рабочая'!$E:$E="&amp;"$K3)),""нет нормы"")"),110.0)</f>
        <v>110</v>
      </c>
      <c r="Q3" s="24">
        <f t="shared" ref="Q3:Q191" si="1">IFERROR(IFS(O3="","",O3&lt;&gt;"",(O3-P3)/P3),"нет")</f>
        <v>-0.2787272727</v>
      </c>
      <c r="R3" s="19" t="s">
        <v>29</v>
      </c>
      <c r="S3" s="25"/>
      <c r="T3" s="26"/>
      <c r="U3" s="25"/>
      <c r="V3" s="27"/>
      <c r="W3" s="25"/>
    </row>
    <row r="4">
      <c r="A4" s="16" t="s">
        <v>23</v>
      </c>
      <c r="B4" s="16" t="s">
        <v>24</v>
      </c>
      <c r="C4" s="16" t="s">
        <v>25</v>
      </c>
      <c r="D4" s="18">
        <v>2.0</v>
      </c>
      <c r="E4" s="18">
        <v>18.0</v>
      </c>
      <c r="F4" s="19" t="s">
        <v>26</v>
      </c>
      <c r="G4" s="19"/>
      <c r="H4" s="20" t="s">
        <v>27</v>
      </c>
      <c r="I4" s="21">
        <v>45114.0</v>
      </c>
      <c r="J4" s="21"/>
      <c r="K4" s="20" t="s">
        <v>28</v>
      </c>
      <c r="L4" s="18"/>
      <c r="M4" s="18"/>
      <c r="N4" s="18"/>
      <c r="O4" s="22">
        <v>93.07</v>
      </c>
      <c r="P4" s="23">
        <f>IFERROR(__xludf.DUMMYFUNCTION("IFERROR(IFS(O4="""","""",O4&lt;&gt;"""",FILTER('Нормативные показатели (рабочая'!$G:$G,'Нормативные показатели (рабочая'!$F:$F=$C4,'Нормативные показатели (рабочая'!$B:$B&lt;=$E4,'Нормативные показатели (рабочая'!$C:$C&gt;=$E4,'Нормативные показатели (рабочая'!$E:$E="&amp;"$K4)),""нет нормы"")"),110.0)</f>
        <v>110</v>
      </c>
      <c r="Q4" s="24">
        <f t="shared" si="1"/>
        <v>-0.1539090909</v>
      </c>
      <c r="R4" s="19" t="s">
        <v>29</v>
      </c>
      <c r="S4" s="25"/>
      <c r="T4" s="26"/>
      <c r="U4" s="25"/>
      <c r="V4" s="27"/>
      <c r="W4" s="25"/>
    </row>
    <row r="5">
      <c r="A5" s="16" t="s">
        <v>23</v>
      </c>
      <c r="B5" s="16" t="s">
        <v>24</v>
      </c>
      <c r="C5" s="16" t="s">
        <v>25</v>
      </c>
      <c r="D5" s="17">
        <v>44929.0</v>
      </c>
      <c r="E5" s="18">
        <v>15.0</v>
      </c>
      <c r="F5" s="19" t="s">
        <v>26</v>
      </c>
      <c r="G5" s="19"/>
      <c r="H5" s="20" t="s">
        <v>27</v>
      </c>
      <c r="I5" s="21">
        <v>45114.0</v>
      </c>
      <c r="J5" s="21"/>
      <c r="K5" s="20" t="s">
        <v>28</v>
      </c>
      <c r="L5" s="18"/>
      <c r="M5" s="18"/>
      <c r="N5" s="18"/>
      <c r="O5" s="22">
        <v>71.76</v>
      </c>
      <c r="P5" s="23">
        <f>IFERROR(__xludf.DUMMYFUNCTION("IFERROR(IFS(O5="""","""",O5&lt;&gt;"""",FILTER('Нормативные показатели (рабочая'!$G:$G,'Нормативные показатели (рабочая'!$F:$F=$C5,'Нормативные показатели (рабочая'!$B:$B&lt;=$E5,'Нормативные показатели (рабочая'!$C:$C&gt;=$E5,'Нормативные показатели (рабочая'!$E:$E="&amp;"$K5)),""нет нормы"")"),110.0)</f>
        <v>110</v>
      </c>
      <c r="Q5" s="24">
        <f t="shared" si="1"/>
        <v>-0.3476363636</v>
      </c>
      <c r="R5" s="19" t="s">
        <v>29</v>
      </c>
      <c r="S5" s="25"/>
      <c r="T5" s="26"/>
      <c r="U5" s="25"/>
      <c r="V5" s="27"/>
      <c r="W5" s="25"/>
    </row>
    <row r="6">
      <c r="A6" s="16" t="s">
        <v>23</v>
      </c>
      <c r="B6" s="16" t="s">
        <v>24</v>
      </c>
      <c r="C6" s="16" t="s">
        <v>25</v>
      </c>
      <c r="D6" s="17">
        <v>44930.0</v>
      </c>
      <c r="E6" s="18">
        <v>25.0</v>
      </c>
      <c r="F6" s="19" t="s">
        <v>26</v>
      </c>
      <c r="G6" s="19"/>
      <c r="H6" s="20" t="s">
        <v>27</v>
      </c>
      <c r="I6" s="21">
        <v>45114.0</v>
      </c>
      <c r="J6" s="21"/>
      <c r="K6" s="20" t="s">
        <v>28</v>
      </c>
      <c r="L6" s="18"/>
      <c r="M6" s="18"/>
      <c r="N6" s="18"/>
      <c r="O6" s="22">
        <v>85.47</v>
      </c>
      <c r="P6" s="23">
        <f>IFERROR(__xludf.DUMMYFUNCTION("IFERROR(IFS(O6="""","""",O6&lt;&gt;"""",FILTER('Нормативные показатели (рабочая'!$G:$G,'Нормативные показатели (рабочая'!$F:$F=$C6,'Нормативные показатели (рабочая'!$B:$B&lt;=$E6,'Нормативные показатели (рабочая'!$C:$C&gt;=$E6,'Нормативные показатели (рабочая'!$E:$E="&amp;"$K6)),""нет нормы"")"),110.0)</f>
        <v>110</v>
      </c>
      <c r="Q6" s="24">
        <f t="shared" si="1"/>
        <v>-0.223</v>
      </c>
      <c r="R6" s="19" t="s">
        <v>29</v>
      </c>
      <c r="S6" s="25"/>
      <c r="T6" s="26"/>
      <c r="U6" s="25"/>
      <c r="V6" s="27"/>
      <c r="W6" s="25"/>
    </row>
    <row r="7">
      <c r="A7" s="16" t="s">
        <v>23</v>
      </c>
      <c r="B7" s="16" t="s">
        <v>24</v>
      </c>
      <c r="C7" s="16" t="s">
        <v>25</v>
      </c>
      <c r="D7" s="18">
        <v>5.0</v>
      </c>
      <c r="E7" s="18">
        <v>11.0</v>
      </c>
      <c r="F7" s="19" t="s">
        <v>26</v>
      </c>
      <c r="G7" s="19"/>
      <c r="H7" s="20" t="s">
        <v>27</v>
      </c>
      <c r="I7" s="21">
        <v>45114.0</v>
      </c>
      <c r="J7" s="21"/>
      <c r="K7" s="20" t="s">
        <v>28</v>
      </c>
      <c r="L7" s="18"/>
      <c r="M7" s="18"/>
      <c r="N7" s="18"/>
      <c r="O7" s="22">
        <v>80.17</v>
      </c>
      <c r="P7" s="23">
        <f>IFERROR(__xludf.DUMMYFUNCTION("IFERROR(IFS(O7="""","""",O7&lt;&gt;"""",FILTER('Нормативные показатели (рабочая'!$G:$G,'Нормативные показатели (рабочая'!$F:$F=$C7,'Нормативные показатели (рабочая'!$B:$B&lt;=$E7,'Нормативные показатели (рабочая'!$C:$C&gt;=$E7,'Нормативные показатели (рабочая'!$E:$E="&amp;"$K7)),""нет нормы"")"),110.0)</f>
        <v>110</v>
      </c>
      <c r="Q7" s="24">
        <f t="shared" si="1"/>
        <v>-0.2711818182</v>
      </c>
      <c r="R7" s="19" t="s">
        <v>29</v>
      </c>
      <c r="S7" s="25"/>
      <c r="T7" s="26"/>
      <c r="U7" s="25"/>
      <c r="V7" s="27"/>
      <c r="W7" s="25"/>
    </row>
    <row r="8">
      <c r="A8" s="16" t="s">
        <v>30</v>
      </c>
      <c r="B8" s="16" t="s">
        <v>31</v>
      </c>
      <c r="C8" s="16" t="s">
        <v>25</v>
      </c>
      <c r="D8" s="17">
        <v>44927.0</v>
      </c>
      <c r="E8" s="18">
        <v>16.0</v>
      </c>
      <c r="F8" s="19" t="s">
        <v>32</v>
      </c>
      <c r="G8" s="19"/>
      <c r="H8" s="20">
        <v>1.0</v>
      </c>
      <c r="I8" s="21">
        <v>45111.0</v>
      </c>
      <c r="J8" s="21"/>
      <c r="K8" s="20" t="s">
        <v>33</v>
      </c>
      <c r="L8" s="18"/>
      <c r="M8" s="18"/>
      <c r="N8" s="18"/>
      <c r="O8" s="22">
        <v>114.35</v>
      </c>
      <c r="P8" s="23">
        <f>IFERROR(__xludf.DUMMYFUNCTION("IFERROR(IFS(O8="""","""",O8&lt;&gt;"""",FILTER('Нормативные показатели (рабочая'!$G:$G,'Нормативные показатели (рабочая'!$F:$F=$C8,'Нормативные показатели (рабочая'!$B:$B&lt;=$E8,'Нормативные показатели (рабочая'!$C:$C&gt;=$E8,'Нормативные показатели (рабочая'!$E:$E="&amp;"$K8)),""нет нормы"")"),115.0)</f>
        <v>115</v>
      </c>
      <c r="Q8" s="24">
        <f t="shared" si="1"/>
        <v>-0.005652173913</v>
      </c>
      <c r="R8" s="19" t="s">
        <v>29</v>
      </c>
      <c r="S8" s="25"/>
      <c r="T8" s="26"/>
      <c r="U8" s="25"/>
      <c r="V8" s="27"/>
      <c r="W8" s="25"/>
    </row>
    <row r="9">
      <c r="A9" s="16" t="s">
        <v>30</v>
      </c>
      <c r="B9" s="16" t="s">
        <v>31</v>
      </c>
      <c r="C9" s="16" t="s">
        <v>25</v>
      </c>
      <c r="D9" s="17">
        <v>44958.0</v>
      </c>
      <c r="E9" s="18">
        <v>1.0</v>
      </c>
      <c r="F9" s="19" t="s">
        <v>32</v>
      </c>
      <c r="G9" s="19"/>
      <c r="H9" s="20">
        <v>1.0</v>
      </c>
      <c r="I9" s="21">
        <v>45111.0</v>
      </c>
      <c r="J9" s="21"/>
      <c r="K9" s="20" t="s">
        <v>33</v>
      </c>
      <c r="L9" s="18"/>
      <c r="M9" s="18"/>
      <c r="N9" s="18"/>
      <c r="O9" s="22">
        <v>131.27</v>
      </c>
      <c r="P9" s="23">
        <f>IFERROR(__xludf.DUMMYFUNCTION("IFERROR(IFS(O9="""","""",O9&lt;&gt;"""",FILTER('Нормативные показатели (рабочая'!$G:$G,'Нормативные показатели (рабочая'!$F:$F=$C9,'Нормативные показатели (рабочая'!$B:$B&lt;=$E9,'Нормативные показатели (рабочая'!$C:$C&gt;=$E9,'Нормативные показатели (рабочая'!$E:$E="&amp;"$K9)),""нет нормы"")"),115.0)</f>
        <v>115</v>
      </c>
      <c r="Q9" s="24">
        <f t="shared" si="1"/>
        <v>0.1414782609</v>
      </c>
      <c r="R9" s="19" t="s">
        <v>29</v>
      </c>
      <c r="S9" s="25"/>
      <c r="T9" s="26"/>
      <c r="U9" s="25"/>
      <c r="V9" s="27"/>
      <c r="W9" s="25"/>
    </row>
    <row r="10">
      <c r="A10" s="16" t="s">
        <v>30</v>
      </c>
      <c r="B10" s="16" t="s">
        <v>31</v>
      </c>
      <c r="C10" s="16" t="s">
        <v>25</v>
      </c>
      <c r="D10" s="18">
        <v>2.0</v>
      </c>
      <c r="E10" s="18">
        <v>14.0</v>
      </c>
      <c r="F10" s="19" t="s">
        <v>32</v>
      </c>
      <c r="G10" s="19"/>
      <c r="H10" s="20">
        <v>1.0</v>
      </c>
      <c r="I10" s="21">
        <v>45111.0</v>
      </c>
      <c r="J10" s="21"/>
      <c r="K10" s="20" t="s">
        <v>33</v>
      </c>
      <c r="L10" s="18"/>
      <c r="M10" s="18"/>
      <c r="N10" s="18"/>
      <c r="O10" s="22">
        <v>110.19</v>
      </c>
      <c r="P10" s="23">
        <f>IFERROR(__xludf.DUMMYFUNCTION("IFERROR(IFS(O10="""","""",O10&lt;&gt;"""",FILTER('Нормативные показатели (рабочая'!$G:$G,'Нормативные показатели (рабочая'!$F:$F=$C10,'Нормативные показатели (рабочая'!$B:$B&lt;=$E10,'Нормативные показатели (рабочая'!$C:$C&gt;=$E10,'Нормативные показатели (рабочая'!$"&amp;"E:$E=$K10)),""нет нормы"")"),115.0)</f>
        <v>115</v>
      </c>
      <c r="Q10" s="24">
        <f t="shared" si="1"/>
        <v>-0.04182608696</v>
      </c>
      <c r="R10" s="19" t="s">
        <v>29</v>
      </c>
      <c r="S10" s="25"/>
      <c r="T10" s="26"/>
      <c r="U10" s="25"/>
      <c r="V10" s="27"/>
      <c r="W10" s="25"/>
    </row>
    <row r="11">
      <c r="A11" s="16" t="s">
        <v>30</v>
      </c>
      <c r="B11" s="16" t="s">
        <v>31</v>
      </c>
      <c r="C11" s="16" t="s">
        <v>25</v>
      </c>
      <c r="D11" s="18">
        <v>3.0</v>
      </c>
      <c r="E11" s="18">
        <v>13.0</v>
      </c>
      <c r="F11" s="19" t="s">
        <v>32</v>
      </c>
      <c r="G11" s="19"/>
      <c r="H11" s="20">
        <v>1.0</v>
      </c>
      <c r="I11" s="21">
        <v>45111.0</v>
      </c>
      <c r="J11" s="21"/>
      <c r="K11" s="20" t="s">
        <v>33</v>
      </c>
      <c r="L11" s="18"/>
      <c r="M11" s="18"/>
      <c r="N11" s="18"/>
      <c r="O11" s="22">
        <v>112.95</v>
      </c>
      <c r="P11" s="23">
        <f>IFERROR(__xludf.DUMMYFUNCTION("IFERROR(IFS(O11="""","""",O11&lt;&gt;"""",FILTER('Нормативные показатели (рабочая'!$G:$G,'Нормативные показатели (рабочая'!$F:$F=$C11,'Нормативные показатели (рабочая'!$B:$B&lt;=$E11,'Нормативные показатели (рабочая'!$C:$C&gt;=$E11,'Нормативные показатели (рабочая'!$"&amp;"E:$E=$K11)),""нет нормы"")"),115.0)</f>
        <v>115</v>
      </c>
      <c r="Q11" s="24">
        <f t="shared" si="1"/>
        <v>-0.01782608696</v>
      </c>
      <c r="R11" s="19" t="s">
        <v>29</v>
      </c>
      <c r="S11" s="25"/>
      <c r="T11" s="26"/>
      <c r="U11" s="25"/>
      <c r="V11" s="27"/>
      <c r="W11" s="25"/>
    </row>
    <row r="12">
      <c r="A12" s="16" t="s">
        <v>30</v>
      </c>
      <c r="B12" s="16" t="s">
        <v>34</v>
      </c>
      <c r="C12" s="16" t="s">
        <v>25</v>
      </c>
      <c r="D12" s="17">
        <v>44927.0</v>
      </c>
      <c r="E12" s="18">
        <v>16.0</v>
      </c>
      <c r="F12" s="19" t="s">
        <v>26</v>
      </c>
      <c r="G12" s="19"/>
      <c r="H12" s="20" t="s">
        <v>27</v>
      </c>
      <c r="I12" s="21">
        <v>45111.0</v>
      </c>
      <c r="J12" s="21"/>
      <c r="K12" s="20" t="s">
        <v>28</v>
      </c>
      <c r="L12" s="18"/>
      <c r="M12" s="18"/>
      <c r="N12" s="18"/>
      <c r="O12" s="22">
        <v>145.15</v>
      </c>
      <c r="P12" s="23">
        <f>IFERROR(__xludf.DUMMYFUNCTION("IFERROR(IFS(O12="""","""",O12&lt;&gt;"""",FILTER('Нормативные показатели (рабочая'!$G:$G,'Нормативные показатели (рабочая'!$F:$F=$C12,'Нормативные показатели (рабочая'!$B:$B&lt;=$E12,'Нормативные показатели (рабочая'!$C:$C&gt;=$E12,'Нормативные показатели (рабочая'!$"&amp;"E:$E=$K12)),""нет нормы"")"),110.0)</f>
        <v>110</v>
      </c>
      <c r="Q12" s="24">
        <f t="shared" si="1"/>
        <v>0.3195454545</v>
      </c>
      <c r="R12" s="19" t="s">
        <v>29</v>
      </c>
      <c r="S12" s="25"/>
      <c r="T12" s="26"/>
      <c r="U12" s="25"/>
      <c r="V12" s="27"/>
      <c r="W12" s="25"/>
    </row>
    <row r="13">
      <c r="A13" s="16" t="s">
        <v>30</v>
      </c>
      <c r="B13" s="16" t="s">
        <v>34</v>
      </c>
      <c r="C13" s="16" t="s">
        <v>25</v>
      </c>
      <c r="D13" s="17">
        <v>44958.0</v>
      </c>
      <c r="E13" s="18">
        <v>1.0</v>
      </c>
      <c r="F13" s="19" t="s">
        <v>26</v>
      </c>
      <c r="G13" s="19"/>
      <c r="H13" s="20" t="s">
        <v>27</v>
      </c>
      <c r="I13" s="21">
        <v>45111.0</v>
      </c>
      <c r="J13" s="21"/>
      <c r="K13" s="20" t="s">
        <v>28</v>
      </c>
      <c r="L13" s="18"/>
      <c r="M13" s="18"/>
      <c r="N13" s="18"/>
      <c r="O13" s="22">
        <v>98.04</v>
      </c>
      <c r="P13" s="23">
        <f>IFERROR(__xludf.DUMMYFUNCTION("IFERROR(IFS(O13="""","""",O13&lt;&gt;"""",FILTER('Нормативные показатели (рабочая'!$G:$G,'Нормативные показатели (рабочая'!$F:$F=$C13,'Нормативные показатели (рабочая'!$B:$B&lt;=$E13,'Нормативные показатели (рабочая'!$C:$C&gt;=$E13,'Нормативные показатели (рабочая'!$"&amp;"E:$E=$K13)),""нет нормы"")"),110.0)</f>
        <v>110</v>
      </c>
      <c r="Q13" s="24">
        <f t="shared" si="1"/>
        <v>-0.1087272727</v>
      </c>
      <c r="R13" s="19" t="s">
        <v>29</v>
      </c>
      <c r="S13" s="25"/>
      <c r="T13" s="26"/>
      <c r="U13" s="25"/>
      <c r="V13" s="27"/>
      <c r="W13" s="25"/>
    </row>
    <row r="14">
      <c r="A14" s="16" t="s">
        <v>30</v>
      </c>
      <c r="B14" s="16" t="s">
        <v>34</v>
      </c>
      <c r="C14" s="16" t="s">
        <v>25</v>
      </c>
      <c r="D14" s="18">
        <v>2.0</v>
      </c>
      <c r="E14" s="18">
        <v>13.0</v>
      </c>
      <c r="F14" s="19" t="s">
        <v>26</v>
      </c>
      <c r="G14" s="19"/>
      <c r="H14" s="20" t="s">
        <v>27</v>
      </c>
      <c r="I14" s="21">
        <v>45111.0</v>
      </c>
      <c r="J14" s="21"/>
      <c r="K14" s="20" t="s">
        <v>28</v>
      </c>
      <c r="L14" s="18"/>
      <c r="M14" s="18"/>
      <c r="N14" s="18"/>
      <c r="O14" s="22">
        <v>90.07</v>
      </c>
      <c r="P14" s="23">
        <f>IFERROR(__xludf.DUMMYFUNCTION("IFERROR(IFS(O14="""","""",O14&lt;&gt;"""",FILTER('Нормативные показатели (рабочая'!$G:$G,'Нормативные показатели (рабочая'!$F:$F=$C14,'Нормативные показатели (рабочая'!$B:$B&lt;=$E14,'Нормативные показатели (рабочая'!$C:$C&gt;=$E14,'Нормативные показатели (рабочая'!$"&amp;"E:$E=$K14)),""нет нормы"")"),110.0)</f>
        <v>110</v>
      </c>
      <c r="Q14" s="24">
        <f t="shared" si="1"/>
        <v>-0.1811818182</v>
      </c>
      <c r="R14" s="19" t="s">
        <v>29</v>
      </c>
      <c r="S14" s="25"/>
      <c r="T14" s="26"/>
      <c r="U14" s="25"/>
      <c r="V14" s="27"/>
      <c r="W14" s="25"/>
    </row>
    <row r="15">
      <c r="A15" s="16" t="s">
        <v>30</v>
      </c>
      <c r="B15" s="16" t="s">
        <v>34</v>
      </c>
      <c r="C15" s="16" t="s">
        <v>25</v>
      </c>
      <c r="D15" s="18">
        <v>3.0</v>
      </c>
      <c r="E15" s="18">
        <v>8.0</v>
      </c>
      <c r="F15" s="19" t="s">
        <v>26</v>
      </c>
      <c r="G15" s="19"/>
      <c r="H15" s="20" t="s">
        <v>27</v>
      </c>
      <c r="I15" s="21">
        <v>45111.0</v>
      </c>
      <c r="J15" s="21"/>
      <c r="K15" s="20" t="s">
        <v>28</v>
      </c>
      <c r="L15" s="18"/>
      <c r="M15" s="18"/>
      <c r="N15" s="18"/>
      <c r="O15" s="22">
        <v>61.36</v>
      </c>
      <c r="P15" s="23">
        <f>IFERROR(__xludf.DUMMYFUNCTION("IFERROR(IFS(O15="""","""",O15&lt;&gt;"""",FILTER('Нормативные показатели (рабочая'!$G:$G,'Нормативные показатели (рабочая'!$F:$F=$C15,'Нормативные показатели (рабочая'!$B:$B&lt;=$E15,'Нормативные показатели (рабочая'!$C:$C&gt;=$E15,'Нормативные показатели (рабочая'!$"&amp;"E:$E=$K15)),""нет нормы"")"),110.0)</f>
        <v>110</v>
      </c>
      <c r="Q15" s="24">
        <f t="shared" si="1"/>
        <v>-0.4421818182</v>
      </c>
      <c r="R15" s="19" t="s">
        <v>29</v>
      </c>
      <c r="S15" s="25"/>
      <c r="T15" s="26"/>
      <c r="U15" s="25"/>
      <c r="V15" s="27"/>
      <c r="W15" s="25"/>
    </row>
    <row r="16">
      <c r="A16" s="16" t="s">
        <v>35</v>
      </c>
      <c r="B16" s="16" t="s">
        <v>36</v>
      </c>
      <c r="C16" s="16" t="s">
        <v>25</v>
      </c>
      <c r="D16" s="28">
        <v>1.2</v>
      </c>
      <c r="E16" s="18">
        <v>30.0</v>
      </c>
      <c r="F16" s="29"/>
      <c r="G16" s="19"/>
      <c r="H16" s="20" t="s">
        <v>27</v>
      </c>
      <c r="I16" s="21">
        <v>45114.0</v>
      </c>
      <c r="J16" s="21"/>
      <c r="K16" s="20" t="s">
        <v>37</v>
      </c>
      <c r="L16" s="18"/>
      <c r="M16" s="18"/>
      <c r="N16" s="18"/>
      <c r="O16" s="22">
        <v>291.6</v>
      </c>
      <c r="P16" s="23" t="str">
        <f>IFERROR(__xludf.DUMMYFUNCTION("IFERROR(IFS(O16="""","""",O16&lt;&gt;"""",FILTER('Нормативные показатели (рабочая'!$G:$G,'Нормативные показатели (рабочая'!$F:$F=$C16,'Нормативные показатели (рабочая'!$B:$B&lt;=$E16,'Нормативные показатели (рабочая'!$C:$C&gt;=$E16,'Нормативные показатели (рабочая'!$"&amp;"E:$E=$K16)),""нет нормы"")"),"нет нормы")</f>
        <v>нет нормы</v>
      </c>
      <c r="Q16" s="24" t="str">
        <f t="shared" si="1"/>
        <v>нет</v>
      </c>
      <c r="R16" s="19" t="s">
        <v>38</v>
      </c>
      <c r="S16" s="25"/>
      <c r="T16" s="26"/>
      <c r="U16" s="25"/>
      <c r="V16" s="27"/>
      <c r="W16" s="25"/>
    </row>
    <row r="17">
      <c r="A17" s="16" t="s">
        <v>35</v>
      </c>
      <c r="B17" s="16" t="s">
        <v>36</v>
      </c>
      <c r="C17" s="16" t="s">
        <v>25</v>
      </c>
      <c r="D17" s="28" t="s">
        <v>39</v>
      </c>
      <c r="E17" s="18" t="s">
        <v>39</v>
      </c>
      <c r="F17" s="29"/>
      <c r="G17" s="19"/>
      <c r="H17" s="20" t="s">
        <v>27</v>
      </c>
      <c r="I17" s="21">
        <v>45114.0</v>
      </c>
      <c r="J17" s="21"/>
      <c r="K17" s="20" t="s">
        <v>40</v>
      </c>
      <c r="L17" s="18"/>
      <c r="M17" s="18"/>
      <c r="N17" s="18"/>
      <c r="O17" s="22">
        <v>155.6</v>
      </c>
      <c r="P17" s="30">
        <v>165.0</v>
      </c>
      <c r="Q17" s="24">
        <f t="shared" si="1"/>
        <v>-0.05696969697</v>
      </c>
      <c r="R17" s="19" t="s">
        <v>38</v>
      </c>
      <c r="S17" s="25"/>
      <c r="T17" s="26"/>
      <c r="U17" s="18" t="s">
        <v>41</v>
      </c>
      <c r="V17" s="31"/>
      <c r="W17" s="25"/>
    </row>
    <row r="18">
      <c r="A18" s="16" t="s">
        <v>35</v>
      </c>
      <c r="B18" s="16" t="s">
        <v>42</v>
      </c>
      <c r="C18" s="16" t="s">
        <v>25</v>
      </c>
      <c r="D18" s="28" t="s">
        <v>43</v>
      </c>
      <c r="E18" s="18">
        <v>15.0</v>
      </c>
      <c r="F18" s="16" t="s">
        <v>44</v>
      </c>
      <c r="G18" s="19"/>
      <c r="H18" s="20" t="s">
        <v>27</v>
      </c>
      <c r="I18" s="21">
        <v>45118.0</v>
      </c>
      <c r="J18" s="21"/>
      <c r="K18" s="20" t="s">
        <v>45</v>
      </c>
      <c r="L18" s="18"/>
      <c r="M18" s="18"/>
      <c r="N18" s="18"/>
      <c r="O18" s="22">
        <v>144.38</v>
      </c>
      <c r="P18" s="23">
        <f>IFERROR(__xludf.DUMMYFUNCTION("IFERROR(IFS(O18="""","""",O18&lt;&gt;"""",FILTER('Нормативные показатели (рабочая'!$G:$G,'Нормативные показатели (рабочая'!$F:$F=$C18,'Нормативные показатели (рабочая'!$B:$B&lt;=$E18,'Нормативные показатели (рабочая'!$C:$C&gt;=$E18,'Нормативные показатели (рабочая'!$"&amp;"E:$E=$K18)),""нет нормы"")"),140.0)</f>
        <v>140</v>
      </c>
      <c r="Q18" s="24">
        <f t="shared" si="1"/>
        <v>0.03128571429</v>
      </c>
      <c r="R18" s="19" t="s">
        <v>29</v>
      </c>
      <c r="S18" s="25"/>
      <c r="T18" s="26"/>
      <c r="U18" s="25"/>
      <c r="V18" s="27"/>
      <c r="W18" s="25"/>
    </row>
    <row r="19">
      <c r="A19" s="16" t="s">
        <v>23</v>
      </c>
      <c r="B19" s="16" t="s">
        <v>46</v>
      </c>
      <c r="C19" s="16" t="s">
        <v>25</v>
      </c>
      <c r="D19" s="28" t="s">
        <v>47</v>
      </c>
      <c r="E19" s="18">
        <v>18.0</v>
      </c>
      <c r="F19" s="16" t="s">
        <v>48</v>
      </c>
      <c r="G19" s="19"/>
      <c r="H19" s="20" t="s">
        <v>27</v>
      </c>
      <c r="I19" s="21">
        <v>45104.0</v>
      </c>
      <c r="J19" s="21"/>
      <c r="K19" s="20" t="s">
        <v>37</v>
      </c>
      <c r="L19" s="32"/>
      <c r="M19" s="32"/>
      <c r="N19" s="32"/>
      <c r="O19" s="26">
        <f>(8101.36*6)/(64.097*6)</f>
        <v>126.3921868</v>
      </c>
      <c r="P19" s="23">
        <f>IFERROR(__xludf.DUMMYFUNCTION("IFERROR(IFS(O19="""","""",O19&lt;&gt;"""",FILTER('Нормативные показатели (рабочая'!$G:$G,'Нормативные показатели (рабочая'!$F:$F=$C19,'Нормативные показатели (рабочая'!$B:$B&lt;=$E19,'Нормативные показатели (рабочая'!$C:$C&gt;=$E19,'Нормативные показатели (рабочая'!$"&amp;"E:$E=$K19)),""нет нормы"")"),125.0)</f>
        <v>125</v>
      </c>
      <c r="Q19" s="24">
        <f t="shared" si="1"/>
        <v>0.01113749473</v>
      </c>
      <c r="R19" s="19" t="s">
        <v>29</v>
      </c>
      <c r="S19" s="25"/>
      <c r="T19" s="26"/>
      <c r="U19" s="25"/>
      <c r="V19" s="27"/>
      <c r="W19" s="25"/>
    </row>
    <row r="20" ht="15.75" customHeight="1">
      <c r="A20" s="16" t="s">
        <v>23</v>
      </c>
      <c r="B20" s="16" t="s">
        <v>46</v>
      </c>
      <c r="C20" s="16" t="s">
        <v>25</v>
      </c>
      <c r="D20" s="18" t="s">
        <v>47</v>
      </c>
      <c r="E20" s="18">
        <v>18.0</v>
      </c>
      <c r="F20" s="16" t="s">
        <v>49</v>
      </c>
      <c r="G20" s="19"/>
      <c r="H20" s="20" t="s">
        <v>27</v>
      </c>
      <c r="I20" s="21">
        <v>45104.0</v>
      </c>
      <c r="J20" s="21"/>
      <c r="K20" s="20" t="s">
        <v>50</v>
      </c>
      <c r="L20" s="32"/>
      <c r="M20" s="32"/>
      <c r="N20" s="32"/>
      <c r="O20" s="26">
        <f>70592.21/(126*3+125.93*2+125.92)</f>
        <v>93.40311996</v>
      </c>
      <c r="P20" s="23">
        <f>IFERROR(__xludf.DUMMYFUNCTION("IFERROR(IFS(O20="""","""",O20&lt;&gt;"""",FILTER('Нормативные показатели (рабочая'!$G:$G,'Нормативные показатели (рабочая'!$F:$F=$C20,'Нормативные показатели (рабочая'!$B:$B&lt;=$E20,'Нормативные показатели (рабочая'!$C:$C&gt;=$E20,'Нормативные показатели (рабочая'!$"&amp;"E:$E=$K20)),""нет нормы"")"),115.0)</f>
        <v>115</v>
      </c>
      <c r="Q20" s="24">
        <f t="shared" si="1"/>
        <v>-0.1877989569</v>
      </c>
      <c r="R20" s="19" t="s">
        <v>29</v>
      </c>
      <c r="S20" s="25"/>
      <c r="T20" s="26"/>
      <c r="U20" s="25"/>
      <c r="V20" s="27"/>
      <c r="W20" s="25"/>
    </row>
    <row r="21" ht="15.75" customHeight="1">
      <c r="A21" s="16" t="s">
        <v>23</v>
      </c>
      <c r="B21" s="16" t="s">
        <v>46</v>
      </c>
      <c r="C21" s="16" t="s">
        <v>25</v>
      </c>
      <c r="D21" s="18" t="s">
        <v>51</v>
      </c>
      <c r="E21" s="18">
        <v>25.0</v>
      </c>
      <c r="F21" s="16" t="s">
        <v>48</v>
      </c>
      <c r="G21" s="19"/>
      <c r="H21" s="20">
        <v>1.0</v>
      </c>
      <c r="I21" s="21">
        <v>45100.0</v>
      </c>
      <c r="J21" s="21"/>
      <c r="K21" s="20" t="s">
        <v>37</v>
      </c>
      <c r="L21" s="32"/>
      <c r="M21" s="32"/>
      <c r="N21" s="32"/>
      <c r="O21" s="26">
        <f>55141.93/(73.81*4+64.99*2)</f>
        <v>129.6785899</v>
      </c>
      <c r="P21" s="23">
        <f>IFERROR(__xludf.DUMMYFUNCTION("IFERROR(IFS(O21="""","""",O21&lt;&gt;"""",FILTER('Нормативные показатели (рабочая'!$G:$G,'Нормативные показатели (рабочая'!$F:$F=$C21,'Нормативные показатели (рабочая'!$B:$B&lt;=$E21,'Нормативные показатели (рабочая'!$C:$C&gt;=$E21,'Нормативные показатели (рабочая'!$"&amp;"E:$E=$K21)),""нет нормы"")"),125.0)</f>
        <v>125</v>
      </c>
      <c r="Q21" s="24">
        <f t="shared" si="1"/>
        <v>0.03742871925</v>
      </c>
      <c r="R21" s="19" t="s">
        <v>29</v>
      </c>
      <c r="S21" s="25"/>
      <c r="T21" s="26"/>
      <c r="U21" s="25"/>
      <c r="V21" s="27"/>
      <c r="W21" s="25"/>
    </row>
    <row r="22" ht="15.75" customHeight="1">
      <c r="A22" s="16" t="s">
        <v>23</v>
      </c>
      <c r="B22" s="16" t="s">
        <v>46</v>
      </c>
      <c r="C22" s="16" t="s">
        <v>25</v>
      </c>
      <c r="D22" s="18" t="s">
        <v>52</v>
      </c>
      <c r="E22" s="18">
        <v>12.0</v>
      </c>
      <c r="F22" s="16" t="s">
        <v>48</v>
      </c>
      <c r="G22" s="19"/>
      <c r="H22" s="20" t="s">
        <v>27</v>
      </c>
      <c r="I22" s="21">
        <v>45100.0</v>
      </c>
      <c r="J22" s="21"/>
      <c r="K22" s="20" t="s">
        <v>37</v>
      </c>
      <c r="L22" s="32"/>
      <c r="M22" s="32"/>
      <c r="N22" s="32"/>
      <c r="O22" s="26">
        <f>37695.68/(46.87*6)</f>
        <v>134.0433824</v>
      </c>
      <c r="P22" s="23">
        <f>IFERROR(__xludf.DUMMYFUNCTION("IFERROR(IFS(O22="""","""",O22&lt;&gt;"""",FILTER('Нормативные показатели (рабочая'!$G:$G,'Нормативные показатели (рабочая'!$F:$F=$C22,'Нормативные показатели (рабочая'!$B:$B&lt;=$E22,'Нормативные показатели (рабочая'!$C:$C&gt;=$E22,'Нормативные показатели (рабочая'!$"&amp;"E:$E=$K22)),""нет нормы"")"),125.0)</f>
        <v>125</v>
      </c>
      <c r="Q22" s="24">
        <f t="shared" si="1"/>
        <v>0.07234705924</v>
      </c>
      <c r="R22" s="19" t="s">
        <v>29</v>
      </c>
      <c r="S22" s="18"/>
      <c r="T22" s="22"/>
      <c r="U22" s="18" t="s">
        <v>53</v>
      </c>
      <c r="V22" s="31"/>
      <c r="W22" s="25"/>
    </row>
    <row r="23" ht="15.75" customHeight="1">
      <c r="A23" s="16" t="s">
        <v>23</v>
      </c>
      <c r="B23" s="16" t="s">
        <v>46</v>
      </c>
      <c r="C23" s="16" t="s">
        <v>25</v>
      </c>
      <c r="D23" s="18" t="s">
        <v>54</v>
      </c>
      <c r="E23" s="18">
        <v>15.0</v>
      </c>
      <c r="F23" s="16" t="s">
        <v>48</v>
      </c>
      <c r="G23" s="19"/>
      <c r="H23" s="20" t="s">
        <v>27</v>
      </c>
      <c r="I23" s="21">
        <v>45107.0</v>
      </c>
      <c r="J23" s="21"/>
      <c r="K23" s="20" t="s">
        <v>37</v>
      </c>
      <c r="L23" s="32"/>
      <c r="M23" s="32"/>
      <c r="N23" s="32"/>
      <c r="O23" s="26">
        <f>6847.43/53.73</f>
        <v>127.4414666</v>
      </c>
      <c r="P23" s="23">
        <f>IFERROR(__xludf.DUMMYFUNCTION("IFERROR(IFS(O23="""","""",O23&lt;&gt;"""",FILTER('Нормативные показатели (рабочая'!$G:$G,'Нормативные показатели (рабочая'!$F:$F=$C23,'Нормативные показатели (рабочая'!$B:$B&lt;=$E23,'Нормативные показатели (рабочая'!$C:$C&gt;=$E23,'Нормативные показатели (рабочая'!$"&amp;"E:$E=$K23)),""нет нормы"")"),125.0)</f>
        <v>125</v>
      </c>
      <c r="Q23" s="24">
        <f t="shared" si="1"/>
        <v>0.01953173274</v>
      </c>
      <c r="R23" s="19" t="s">
        <v>29</v>
      </c>
      <c r="S23" s="25"/>
      <c r="T23" s="26"/>
      <c r="U23" s="25"/>
      <c r="V23" s="27"/>
      <c r="W23" s="25"/>
    </row>
    <row r="24" ht="15.75" customHeight="1">
      <c r="A24" s="16" t="s">
        <v>23</v>
      </c>
      <c r="B24" s="16" t="s">
        <v>46</v>
      </c>
      <c r="C24" s="16" t="s">
        <v>25</v>
      </c>
      <c r="D24" s="18" t="s">
        <v>52</v>
      </c>
      <c r="E24" s="18">
        <v>12.0</v>
      </c>
      <c r="F24" s="16" t="s">
        <v>49</v>
      </c>
      <c r="G24" s="19"/>
      <c r="H24" s="20"/>
      <c r="I24" s="21">
        <v>45103.0</v>
      </c>
      <c r="J24" s="21"/>
      <c r="K24" s="20" t="s">
        <v>50</v>
      </c>
      <c r="L24" s="33"/>
      <c r="M24" s="33"/>
      <c r="N24" s="33"/>
      <c r="O24" s="22">
        <f>47348.44/(86.82+90.76+86.69+90.64+86.64+86.64)</f>
        <v>89.64281793</v>
      </c>
      <c r="P24" s="23">
        <f>IFERROR(__xludf.DUMMYFUNCTION("IFERROR(IFS(O24="""","""",O24&lt;&gt;"""",FILTER('Нормативные показатели (рабочая'!$G:$G,'Нормативные показатели (рабочая'!$F:$F=$C24,'Нормативные показатели (рабочая'!$B:$B&lt;=$E24,'Нормативные показатели (рабочая'!$C:$C&gt;=$E24,'Нормативные показатели (рабочая'!$"&amp;"E:$E=$K24)),""нет нормы"")"),115.0)</f>
        <v>115</v>
      </c>
      <c r="Q24" s="24">
        <f t="shared" si="1"/>
        <v>-0.2204972354</v>
      </c>
      <c r="R24" s="19" t="s">
        <v>29</v>
      </c>
      <c r="S24" s="25"/>
      <c r="T24" s="26"/>
      <c r="U24" s="25"/>
      <c r="V24" s="27"/>
      <c r="W24" s="25"/>
    </row>
    <row r="25" ht="15.75" customHeight="1">
      <c r="A25" s="16" t="s">
        <v>23</v>
      </c>
      <c r="B25" s="16" t="s">
        <v>46</v>
      </c>
      <c r="C25" s="16" t="s">
        <v>25</v>
      </c>
      <c r="D25" s="18" t="s">
        <v>54</v>
      </c>
      <c r="E25" s="18">
        <v>15.0</v>
      </c>
      <c r="F25" s="16" t="s">
        <v>49</v>
      </c>
      <c r="G25" s="19"/>
      <c r="H25" s="20" t="s">
        <v>27</v>
      </c>
      <c r="I25" s="21">
        <v>45107.0</v>
      </c>
      <c r="J25" s="21"/>
      <c r="K25" s="20" t="s">
        <v>50</v>
      </c>
      <c r="L25" s="32"/>
      <c r="M25" s="32"/>
      <c r="N25" s="32"/>
      <c r="O25" s="26">
        <f>58875.68/(104.56+108.26+104.56+108.11+104.37+104.37)</f>
        <v>92.83017202</v>
      </c>
      <c r="P25" s="23">
        <f>IFERROR(__xludf.DUMMYFUNCTION("IFERROR(IFS(O25="""","""",O25&lt;&gt;"""",FILTER('Нормативные показатели (рабочая'!$G:$G,'Нормативные показатели (рабочая'!$F:$F=$C25,'Нормативные показатели (рабочая'!$B:$B&lt;=$E25,'Нормативные показатели (рабочая'!$C:$C&gt;=$E25,'Нормативные показатели (рабочая'!$"&amp;"E:$E=$K25)),""нет нормы"")"),115.0)</f>
        <v>115</v>
      </c>
      <c r="Q25" s="24">
        <f t="shared" si="1"/>
        <v>-0.1927811129</v>
      </c>
      <c r="R25" s="19" t="s">
        <v>29</v>
      </c>
      <c r="S25" s="25"/>
      <c r="T25" s="26"/>
      <c r="U25" s="25"/>
      <c r="V25" s="27"/>
      <c r="W25" s="25"/>
    </row>
    <row r="26" ht="15.75" customHeight="1">
      <c r="A26" s="16" t="s">
        <v>23</v>
      </c>
      <c r="B26" s="16" t="s">
        <v>46</v>
      </c>
      <c r="C26" s="16" t="s">
        <v>55</v>
      </c>
      <c r="D26" s="18" t="s">
        <v>56</v>
      </c>
      <c r="E26" s="18" t="s">
        <v>39</v>
      </c>
      <c r="F26" s="16" t="s">
        <v>44</v>
      </c>
      <c r="G26" s="19"/>
      <c r="H26" s="20">
        <v>1.0</v>
      </c>
      <c r="I26" s="21">
        <v>45106.0</v>
      </c>
      <c r="J26" s="21"/>
      <c r="K26" s="20" t="s">
        <v>40</v>
      </c>
      <c r="L26" s="32"/>
      <c r="M26" s="32"/>
      <c r="N26" s="32"/>
      <c r="O26" s="26">
        <f>444885.83/3534.69</f>
        <v>125.8627574</v>
      </c>
      <c r="P26" s="23" t="str">
        <f>IFERROR(__xludf.DUMMYFUNCTION("IFERROR(IFS(O26="""","""",O26&lt;&gt;"""",FILTER('Нормативные показатели (рабочая'!$G:$G,'Нормативные показатели (рабочая'!$F:$F=$C26,'Нормативные показатели (рабочая'!$B:$B&lt;=$E26,'Нормативные показатели (рабочая'!$C:$C&gt;=$E26,'Нормативные показатели (рабочая'!$"&amp;"E:$E=$K26)),""нет нормы"")"),"нет нормы")</f>
        <v>нет нормы</v>
      </c>
      <c r="Q26" s="24" t="str">
        <f t="shared" si="1"/>
        <v>нет</v>
      </c>
      <c r="R26" s="19" t="s">
        <v>29</v>
      </c>
      <c r="S26" s="25"/>
      <c r="T26" s="26"/>
      <c r="U26" s="25"/>
      <c r="V26" s="27"/>
      <c r="W26" s="25"/>
    </row>
    <row r="27" ht="15.75" customHeight="1">
      <c r="A27" s="16" t="s">
        <v>30</v>
      </c>
      <c r="B27" s="16" t="s">
        <v>34</v>
      </c>
      <c r="C27" s="16" t="s">
        <v>25</v>
      </c>
      <c r="D27" s="17">
        <v>44927.0</v>
      </c>
      <c r="E27" s="18">
        <v>16.0</v>
      </c>
      <c r="F27" s="16" t="s">
        <v>57</v>
      </c>
      <c r="G27" s="19"/>
      <c r="H27" s="20" t="s">
        <v>27</v>
      </c>
      <c r="I27" s="21">
        <v>45119.0</v>
      </c>
      <c r="J27" s="21"/>
      <c r="K27" s="20" t="s">
        <v>58</v>
      </c>
      <c r="L27" s="18"/>
      <c r="M27" s="18"/>
      <c r="N27" s="18"/>
      <c r="O27" s="22">
        <v>193.0</v>
      </c>
      <c r="P27" s="23">
        <f>IFERROR(__xludf.DUMMYFUNCTION("IFERROR(IFS(O27="""","""",O27&lt;&gt;"""",FILTER('Нормативные показатели (рабочая'!$G:$G,'Нормативные показатели (рабочая'!$F:$F=$C27,'Нормативные показатели (рабочая'!$B:$B&lt;=$E27,'Нормативные показатели (рабочая'!$C:$C&gt;=$E27,'Нормативные показатели (рабочая'!$"&amp;"E:$E=$K27)),""нет нормы"")"),185.0)</f>
        <v>185</v>
      </c>
      <c r="Q27" s="24">
        <f t="shared" si="1"/>
        <v>0.04324324324</v>
      </c>
      <c r="R27" s="19" t="s">
        <v>29</v>
      </c>
      <c r="S27" s="25"/>
      <c r="T27" s="26"/>
      <c r="U27" s="25"/>
      <c r="V27" s="27"/>
      <c r="W27" s="25"/>
    </row>
    <row r="28" ht="15.75" customHeight="1">
      <c r="A28" s="16" t="s">
        <v>30</v>
      </c>
      <c r="B28" s="16" t="s">
        <v>34</v>
      </c>
      <c r="C28" s="16" t="s">
        <v>25</v>
      </c>
      <c r="D28" s="17">
        <v>44958.0</v>
      </c>
      <c r="E28" s="18">
        <v>1.0</v>
      </c>
      <c r="F28" s="16" t="s">
        <v>57</v>
      </c>
      <c r="G28" s="19"/>
      <c r="H28" s="20" t="s">
        <v>27</v>
      </c>
      <c r="I28" s="21">
        <v>45119.0</v>
      </c>
      <c r="J28" s="21"/>
      <c r="K28" s="20" t="s">
        <v>58</v>
      </c>
      <c r="L28" s="18"/>
      <c r="M28" s="18"/>
      <c r="N28" s="18"/>
      <c r="O28" s="22">
        <v>120.5</v>
      </c>
      <c r="P28" s="23">
        <f>IFERROR(__xludf.DUMMYFUNCTION("IFERROR(IFS(O28="""","""",O28&lt;&gt;"""",FILTER('Нормативные показатели (рабочая'!$G:$G,'Нормативные показатели (рабочая'!$F:$F=$C28,'Нормативные показатели (рабочая'!$B:$B&lt;=$E28,'Нормативные показатели (рабочая'!$C:$C&gt;=$E28,'Нормативные показатели (рабочая'!$"&amp;"E:$E=$K28)),""нет нормы"")"),185.0)</f>
        <v>185</v>
      </c>
      <c r="Q28" s="24">
        <f t="shared" si="1"/>
        <v>-0.3486486486</v>
      </c>
      <c r="R28" s="19" t="s">
        <v>29</v>
      </c>
      <c r="S28" s="25"/>
      <c r="T28" s="26"/>
      <c r="U28" s="25"/>
      <c r="V28" s="27"/>
      <c r="W28" s="25"/>
    </row>
    <row r="29" ht="15.75" customHeight="1">
      <c r="A29" s="16" t="s">
        <v>30</v>
      </c>
      <c r="B29" s="16" t="s">
        <v>34</v>
      </c>
      <c r="C29" s="16" t="s">
        <v>25</v>
      </c>
      <c r="D29" s="18">
        <v>2.0</v>
      </c>
      <c r="E29" s="18">
        <v>13.0</v>
      </c>
      <c r="F29" s="16" t="s">
        <v>57</v>
      </c>
      <c r="G29" s="19"/>
      <c r="H29" s="20" t="s">
        <v>27</v>
      </c>
      <c r="I29" s="21">
        <v>45119.0</v>
      </c>
      <c r="J29" s="21"/>
      <c r="K29" s="20" t="s">
        <v>58</v>
      </c>
      <c r="L29" s="18"/>
      <c r="M29" s="18"/>
      <c r="N29" s="18"/>
      <c r="O29" s="22">
        <v>180.15</v>
      </c>
      <c r="P29" s="23">
        <f>IFERROR(__xludf.DUMMYFUNCTION("IFERROR(IFS(O29="""","""",O29&lt;&gt;"""",FILTER('Нормативные показатели (рабочая'!$G:$G,'Нормативные показатели (рабочая'!$F:$F=$C29,'Нормативные показатели (рабочая'!$B:$B&lt;=$E29,'Нормативные показатели (рабочая'!$C:$C&gt;=$E29,'Нормативные показатели (рабочая'!$"&amp;"E:$E=$K29)),""нет нормы"")"),185.0)</f>
        <v>185</v>
      </c>
      <c r="Q29" s="24">
        <f t="shared" si="1"/>
        <v>-0.02621621622</v>
      </c>
      <c r="R29" s="19" t="s">
        <v>29</v>
      </c>
      <c r="S29" s="25"/>
      <c r="T29" s="26"/>
      <c r="U29" s="25"/>
      <c r="V29" s="27"/>
      <c r="W29" s="25"/>
    </row>
    <row r="30" ht="15.75" customHeight="1">
      <c r="A30" s="16" t="s">
        <v>30</v>
      </c>
      <c r="B30" s="16" t="s">
        <v>34</v>
      </c>
      <c r="C30" s="16" t="s">
        <v>25</v>
      </c>
      <c r="D30" s="18">
        <v>3.0</v>
      </c>
      <c r="E30" s="18">
        <v>8.0</v>
      </c>
      <c r="F30" s="16" t="s">
        <v>57</v>
      </c>
      <c r="G30" s="19"/>
      <c r="H30" s="20" t="s">
        <v>27</v>
      </c>
      <c r="I30" s="21">
        <v>45119.0</v>
      </c>
      <c r="J30" s="21"/>
      <c r="K30" s="20" t="s">
        <v>58</v>
      </c>
      <c r="L30" s="18"/>
      <c r="M30" s="18"/>
      <c r="N30" s="18"/>
      <c r="O30" s="22">
        <v>169.76</v>
      </c>
      <c r="P30" s="23">
        <f>IFERROR(__xludf.DUMMYFUNCTION("IFERROR(IFS(O30="""","""",O30&lt;&gt;"""",FILTER('Нормативные показатели (рабочая'!$G:$G,'Нормативные показатели (рабочая'!$F:$F=$C30,'Нормативные показатели (рабочая'!$B:$B&lt;=$E30,'Нормативные показатели (рабочая'!$C:$C&gt;=$E30,'Нормативные показатели (рабочая'!$"&amp;"E:$E=$K30)),""нет нормы"")"),185.0)</f>
        <v>185</v>
      </c>
      <c r="Q30" s="24">
        <f t="shared" si="1"/>
        <v>-0.08237837838</v>
      </c>
      <c r="R30" s="19" t="s">
        <v>29</v>
      </c>
      <c r="S30" s="25"/>
      <c r="T30" s="26"/>
      <c r="U30" s="25"/>
      <c r="V30" s="27"/>
      <c r="W30" s="25"/>
    </row>
    <row r="31" ht="15.75" customHeight="1">
      <c r="A31" s="16" t="s">
        <v>30</v>
      </c>
      <c r="B31" s="16" t="s">
        <v>34</v>
      </c>
      <c r="C31" s="16" t="s">
        <v>25</v>
      </c>
      <c r="D31" s="17">
        <v>44927.0</v>
      </c>
      <c r="E31" s="18">
        <v>16.0</v>
      </c>
      <c r="F31" s="16" t="s">
        <v>59</v>
      </c>
      <c r="G31" s="19"/>
      <c r="H31" s="20" t="s">
        <v>27</v>
      </c>
      <c r="I31" s="21">
        <v>45119.0</v>
      </c>
      <c r="J31" s="21"/>
      <c r="K31" s="20" t="s">
        <v>60</v>
      </c>
      <c r="L31" s="18"/>
      <c r="M31" s="18"/>
      <c r="N31" s="18"/>
      <c r="O31" s="22">
        <v>87.0</v>
      </c>
      <c r="P31" s="23" t="str">
        <f>IFERROR(__xludf.DUMMYFUNCTION("IFERROR(IFS(O31="""","""",O31&lt;&gt;"""",FILTER('Нормативные показатели (рабочая'!$G:$G,'Нормативные показатели (рабочая'!$F:$F=$C31,'Нормативные показатели (рабочая'!$B:$B&lt;=$E31,'Нормативные показатели (рабочая'!$C:$C&gt;=$E31,'Нормативные показатели (рабочая'!$"&amp;"E:$E=$K31)),""нет нормы"")"),"нет нормы")</f>
        <v>нет нормы</v>
      </c>
      <c r="Q31" s="24" t="str">
        <f t="shared" si="1"/>
        <v>нет</v>
      </c>
      <c r="R31" s="19" t="s">
        <v>29</v>
      </c>
      <c r="S31" s="25"/>
      <c r="T31" s="26"/>
      <c r="U31" s="25"/>
      <c r="V31" s="27"/>
      <c r="W31" s="25"/>
    </row>
    <row r="32" ht="15.75" customHeight="1">
      <c r="A32" s="16" t="s">
        <v>30</v>
      </c>
      <c r="B32" s="16" t="s">
        <v>34</v>
      </c>
      <c r="C32" s="16" t="s">
        <v>25</v>
      </c>
      <c r="D32" s="17">
        <v>44958.0</v>
      </c>
      <c r="E32" s="18">
        <v>1.0</v>
      </c>
      <c r="F32" s="16" t="s">
        <v>59</v>
      </c>
      <c r="G32" s="19"/>
      <c r="H32" s="20" t="s">
        <v>27</v>
      </c>
      <c r="I32" s="21">
        <v>45119.0</v>
      </c>
      <c r="J32" s="21"/>
      <c r="K32" s="20" t="s">
        <v>60</v>
      </c>
      <c r="L32" s="18"/>
      <c r="M32" s="18"/>
      <c r="N32" s="18"/>
      <c r="O32" s="22">
        <v>90.0</v>
      </c>
      <c r="P32" s="23" t="str">
        <f>IFERROR(__xludf.DUMMYFUNCTION("IFERROR(IFS(O32="""","""",O32&lt;&gt;"""",FILTER('Нормативные показатели (рабочая'!$G:$G,'Нормативные показатели (рабочая'!$F:$F=$C32,'Нормативные показатели (рабочая'!$B:$B&lt;=$E32,'Нормативные показатели (рабочая'!$C:$C&gt;=$E32,'Нормативные показатели (рабочая'!$"&amp;"E:$E=$K32)),""нет нормы"")"),"нет нормы")</f>
        <v>нет нормы</v>
      </c>
      <c r="Q32" s="24" t="str">
        <f t="shared" si="1"/>
        <v>нет</v>
      </c>
      <c r="R32" s="19" t="s">
        <v>29</v>
      </c>
      <c r="S32" s="25"/>
      <c r="T32" s="26"/>
      <c r="U32" s="25"/>
      <c r="V32" s="27"/>
      <c r="W32" s="25"/>
    </row>
    <row r="33" ht="15.75" customHeight="1">
      <c r="A33" s="16" t="s">
        <v>30</v>
      </c>
      <c r="B33" s="16" t="s">
        <v>34</v>
      </c>
      <c r="C33" s="16" t="s">
        <v>25</v>
      </c>
      <c r="D33" s="18">
        <v>2.0</v>
      </c>
      <c r="E33" s="18">
        <v>13.0</v>
      </c>
      <c r="F33" s="16" t="s">
        <v>59</v>
      </c>
      <c r="G33" s="19"/>
      <c r="H33" s="20" t="s">
        <v>27</v>
      </c>
      <c r="I33" s="21">
        <v>45119.0</v>
      </c>
      <c r="J33" s="21"/>
      <c r="K33" s="20" t="s">
        <v>60</v>
      </c>
      <c r="L33" s="18"/>
      <c r="M33" s="18"/>
      <c r="N33" s="18"/>
      <c r="O33" s="22">
        <v>77.0</v>
      </c>
      <c r="P33" s="23" t="str">
        <f>IFERROR(__xludf.DUMMYFUNCTION("IFERROR(IFS(O33="""","""",O33&lt;&gt;"""",FILTER('Нормативные показатели (рабочая'!$G:$G,'Нормативные показатели (рабочая'!$F:$F=$C33,'Нормативные показатели (рабочая'!$B:$B&lt;=$E33,'Нормативные показатели (рабочая'!$C:$C&gt;=$E33,'Нормативные показатели (рабочая'!$"&amp;"E:$E=$K33)),""нет нормы"")"),"нет нормы")</f>
        <v>нет нормы</v>
      </c>
      <c r="Q33" s="24" t="str">
        <f t="shared" si="1"/>
        <v>нет</v>
      </c>
      <c r="R33" s="19" t="s">
        <v>29</v>
      </c>
      <c r="S33" s="25"/>
      <c r="T33" s="26"/>
      <c r="U33" s="25"/>
      <c r="V33" s="27"/>
      <c r="W33" s="25"/>
    </row>
    <row r="34" ht="15.75" customHeight="1">
      <c r="A34" s="16" t="s">
        <v>30</v>
      </c>
      <c r="B34" s="16" t="s">
        <v>34</v>
      </c>
      <c r="C34" s="16" t="s">
        <v>25</v>
      </c>
      <c r="D34" s="18">
        <v>3.0</v>
      </c>
      <c r="E34" s="18">
        <v>8.0</v>
      </c>
      <c r="F34" s="16" t="s">
        <v>59</v>
      </c>
      <c r="G34" s="19"/>
      <c r="H34" s="20" t="s">
        <v>27</v>
      </c>
      <c r="I34" s="21">
        <v>45119.0</v>
      </c>
      <c r="J34" s="21"/>
      <c r="K34" s="20" t="s">
        <v>60</v>
      </c>
      <c r="L34" s="18"/>
      <c r="M34" s="18"/>
      <c r="N34" s="18"/>
      <c r="O34" s="22">
        <v>74.0</v>
      </c>
      <c r="P34" s="23" t="str">
        <f>IFERROR(__xludf.DUMMYFUNCTION("IFERROR(IFS(O34="""","""",O34&lt;&gt;"""",FILTER('Нормативные показатели (рабочая'!$G:$G,'Нормативные показатели (рабочая'!$F:$F=$C34,'Нормативные показатели (рабочая'!$B:$B&lt;=$E34,'Нормативные показатели (рабочая'!$C:$C&gt;=$E34,'Нормативные показатели (рабочая'!$"&amp;"E:$E=$K34)),""нет нормы"")"),"нет нормы")</f>
        <v>нет нормы</v>
      </c>
      <c r="Q34" s="24" t="str">
        <f t="shared" si="1"/>
        <v>нет</v>
      </c>
      <c r="R34" s="19" t="s">
        <v>29</v>
      </c>
      <c r="S34" s="25"/>
      <c r="T34" s="26"/>
      <c r="U34" s="25"/>
      <c r="V34" s="27"/>
      <c r="W34" s="25"/>
    </row>
    <row r="35" ht="24.0" customHeight="1">
      <c r="A35" s="16" t="s">
        <v>23</v>
      </c>
      <c r="B35" s="16" t="s">
        <v>46</v>
      </c>
      <c r="C35" s="16" t="s">
        <v>25</v>
      </c>
      <c r="D35" s="17">
        <v>44928.0</v>
      </c>
      <c r="E35" s="18">
        <v>32.0</v>
      </c>
      <c r="F35" s="16" t="s">
        <v>61</v>
      </c>
      <c r="G35" s="19"/>
      <c r="H35" s="20" t="s">
        <v>27</v>
      </c>
      <c r="I35" s="21">
        <v>45124.0</v>
      </c>
      <c r="J35" s="21"/>
      <c r="K35" s="20" t="s">
        <v>37</v>
      </c>
      <c r="L35" s="18"/>
      <c r="M35" s="18"/>
      <c r="N35" s="18"/>
      <c r="O35" s="22">
        <v>165.3</v>
      </c>
      <c r="P35" s="23" t="str">
        <f>IFERROR(__xludf.DUMMYFUNCTION("IFERROR(IFS(O35="""","""",O35&lt;&gt;"""",FILTER('Нормативные показатели (рабочая'!$G:$G,'Нормативные показатели (рабочая'!$F:$F=$C35,'Нормативные показатели (рабочая'!$B:$B&lt;=$E35,'Нормативные показатели (рабочая'!$C:$C&gt;=$E35,'Нормативные показатели (рабочая'!$"&amp;"E:$E=$K35)),""нет нормы"")"),"нет нормы")</f>
        <v>нет нормы</v>
      </c>
      <c r="Q35" s="24" t="str">
        <f t="shared" si="1"/>
        <v>нет</v>
      </c>
      <c r="R35" s="19" t="s">
        <v>29</v>
      </c>
      <c r="S35" s="25"/>
      <c r="T35" s="26"/>
      <c r="U35" s="25"/>
      <c r="V35" s="27"/>
      <c r="W35" s="25"/>
    </row>
    <row r="36" ht="15.75" customHeight="1">
      <c r="A36" s="16" t="s">
        <v>23</v>
      </c>
      <c r="B36" s="16" t="s">
        <v>46</v>
      </c>
      <c r="C36" s="16" t="s">
        <v>25</v>
      </c>
      <c r="D36" s="18">
        <v>3.0</v>
      </c>
      <c r="E36" s="18">
        <v>15.0</v>
      </c>
      <c r="F36" s="16" t="s">
        <v>61</v>
      </c>
      <c r="G36" s="19"/>
      <c r="H36" s="20" t="s">
        <v>27</v>
      </c>
      <c r="I36" s="21">
        <v>45124.0</v>
      </c>
      <c r="J36" s="21"/>
      <c r="K36" s="20" t="s">
        <v>37</v>
      </c>
      <c r="L36" s="18"/>
      <c r="M36" s="18"/>
      <c r="N36" s="18"/>
      <c r="O36" s="22">
        <v>146.2</v>
      </c>
      <c r="P36" s="30">
        <v>125.0</v>
      </c>
      <c r="Q36" s="24">
        <f t="shared" si="1"/>
        <v>0.1696</v>
      </c>
      <c r="R36" s="19" t="s">
        <v>29</v>
      </c>
      <c r="S36" s="25"/>
      <c r="T36" s="26"/>
      <c r="U36" s="18" t="s">
        <v>62</v>
      </c>
      <c r="V36" s="31"/>
      <c r="W36" s="25"/>
    </row>
    <row r="37" ht="15.75" customHeight="1">
      <c r="A37" s="16" t="s">
        <v>23</v>
      </c>
      <c r="B37" s="16" t="s">
        <v>46</v>
      </c>
      <c r="C37" s="16" t="s">
        <v>25</v>
      </c>
      <c r="D37" s="17">
        <v>44930.0</v>
      </c>
      <c r="E37" s="18">
        <v>25.0</v>
      </c>
      <c r="F37" s="16" t="s">
        <v>61</v>
      </c>
      <c r="G37" s="19"/>
      <c r="H37" s="20" t="s">
        <v>27</v>
      </c>
      <c r="I37" s="21">
        <v>45124.0</v>
      </c>
      <c r="J37" s="21"/>
      <c r="K37" s="20" t="s">
        <v>37</v>
      </c>
      <c r="L37" s="18"/>
      <c r="M37" s="18"/>
      <c r="N37" s="18"/>
      <c r="O37" s="22">
        <v>131.1</v>
      </c>
      <c r="P37" s="30">
        <v>125.0</v>
      </c>
      <c r="Q37" s="24">
        <f t="shared" si="1"/>
        <v>0.0488</v>
      </c>
      <c r="R37" s="19" t="s">
        <v>29</v>
      </c>
      <c r="S37" s="25"/>
      <c r="T37" s="26"/>
      <c r="U37" s="25"/>
      <c r="V37" s="27"/>
      <c r="W37" s="25"/>
    </row>
    <row r="38" ht="15.75" customHeight="1">
      <c r="A38" s="16" t="s">
        <v>23</v>
      </c>
      <c r="B38" s="16" t="s">
        <v>46</v>
      </c>
      <c r="C38" s="16" t="s">
        <v>25</v>
      </c>
      <c r="D38" s="18">
        <v>5.0</v>
      </c>
      <c r="E38" s="18">
        <v>12.0</v>
      </c>
      <c r="F38" s="16" t="s">
        <v>61</v>
      </c>
      <c r="G38" s="19"/>
      <c r="H38" s="20" t="s">
        <v>27</v>
      </c>
      <c r="I38" s="21">
        <v>45124.0</v>
      </c>
      <c r="J38" s="21"/>
      <c r="K38" s="20" t="s">
        <v>37</v>
      </c>
      <c r="L38" s="18"/>
      <c r="M38" s="18"/>
      <c r="N38" s="18"/>
      <c r="O38" s="22">
        <v>134.2</v>
      </c>
      <c r="P38" s="30">
        <v>125.0</v>
      </c>
      <c r="Q38" s="24">
        <f t="shared" si="1"/>
        <v>0.0736</v>
      </c>
      <c r="R38" s="19" t="s">
        <v>29</v>
      </c>
      <c r="S38" s="25"/>
      <c r="T38" s="26"/>
      <c r="U38" s="18" t="s">
        <v>62</v>
      </c>
      <c r="V38" s="31"/>
      <c r="W38" s="25"/>
    </row>
    <row r="39" ht="60.0" customHeight="1">
      <c r="A39" s="16" t="s">
        <v>23</v>
      </c>
      <c r="B39" s="16" t="s">
        <v>46</v>
      </c>
      <c r="C39" s="16" t="s">
        <v>25</v>
      </c>
      <c r="D39" s="18">
        <v>6.0</v>
      </c>
      <c r="E39" s="18">
        <v>15.0</v>
      </c>
      <c r="F39" s="16" t="s">
        <v>61</v>
      </c>
      <c r="G39" s="19"/>
      <c r="H39" s="20" t="s">
        <v>27</v>
      </c>
      <c r="I39" s="21">
        <v>45124.0</v>
      </c>
      <c r="J39" s="21"/>
      <c r="K39" s="20" t="s">
        <v>37</v>
      </c>
      <c r="L39" s="18"/>
      <c r="M39" s="18"/>
      <c r="N39" s="18"/>
      <c r="O39" s="22">
        <v>141.7</v>
      </c>
      <c r="P39" s="30">
        <v>125.0</v>
      </c>
      <c r="Q39" s="24">
        <f t="shared" si="1"/>
        <v>0.1336</v>
      </c>
      <c r="R39" s="19" t="s">
        <v>29</v>
      </c>
      <c r="S39" s="25"/>
      <c r="T39" s="26"/>
      <c r="U39" s="18" t="s">
        <v>62</v>
      </c>
      <c r="V39" s="31"/>
      <c r="W39" s="25"/>
    </row>
    <row r="40" ht="15.75" customHeight="1">
      <c r="A40" s="16" t="s">
        <v>23</v>
      </c>
      <c r="B40" s="16" t="s">
        <v>46</v>
      </c>
      <c r="C40" s="16" t="s">
        <v>25</v>
      </c>
      <c r="D40" s="18">
        <v>3.0</v>
      </c>
      <c r="E40" s="18">
        <v>15.0</v>
      </c>
      <c r="F40" s="16" t="s">
        <v>63</v>
      </c>
      <c r="G40" s="19"/>
      <c r="H40" s="20" t="s">
        <v>27</v>
      </c>
      <c r="I40" s="21">
        <v>45124.0</v>
      </c>
      <c r="J40" s="21"/>
      <c r="K40" s="20" t="s">
        <v>50</v>
      </c>
      <c r="L40" s="18"/>
      <c r="M40" s="18"/>
      <c r="N40" s="18"/>
      <c r="O40" s="22">
        <v>98.3</v>
      </c>
      <c r="P40" s="30">
        <v>115.0</v>
      </c>
      <c r="Q40" s="24">
        <f t="shared" si="1"/>
        <v>-0.1452173913</v>
      </c>
      <c r="R40" s="19" t="s">
        <v>29</v>
      </c>
      <c r="S40" s="25"/>
      <c r="T40" s="26"/>
      <c r="U40" s="25"/>
      <c r="V40" s="27"/>
      <c r="W40" s="25"/>
    </row>
    <row r="41" ht="15.75" customHeight="1">
      <c r="A41" s="16" t="s">
        <v>23</v>
      </c>
      <c r="B41" s="16" t="s">
        <v>46</v>
      </c>
      <c r="C41" s="16" t="s">
        <v>25</v>
      </c>
      <c r="D41" s="18">
        <v>5.0</v>
      </c>
      <c r="E41" s="18">
        <v>12.0</v>
      </c>
      <c r="F41" s="16" t="s">
        <v>63</v>
      </c>
      <c r="G41" s="19"/>
      <c r="H41" s="20" t="s">
        <v>27</v>
      </c>
      <c r="I41" s="21">
        <v>45124.0</v>
      </c>
      <c r="J41" s="21"/>
      <c r="K41" s="20" t="s">
        <v>50</v>
      </c>
      <c r="L41" s="18"/>
      <c r="M41" s="18"/>
      <c r="N41" s="18"/>
      <c r="O41" s="22">
        <v>95.2</v>
      </c>
      <c r="P41" s="30">
        <v>115.0</v>
      </c>
      <c r="Q41" s="24">
        <f t="shared" si="1"/>
        <v>-0.172173913</v>
      </c>
      <c r="R41" s="19" t="s">
        <v>29</v>
      </c>
      <c r="S41" s="25"/>
      <c r="T41" s="26"/>
      <c r="U41" s="25"/>
      <c r="V41" s="27"/>
      <c r="W41" s="25"/>
    </row>
    <row r="42" ht="15.75" customHeight="1">
      <c r="A42" s="16" t="s">
        <v>35</v>
      </c>
      <c r="B42" s="16" t="s">
        <v>36</v>
      </c>
      <c r="C42" s="16" t="s">
        <v>25</v>
      </c>
      <c r="D42" s="18">
        <v>4.0</v>
      </c>
      <c r="E42" s="18">
        <v>19.0</v>
      </c>
      <c r="F42" s="16" t="s">
        <v>49</v>
      </c>
      <c r="G42" s="18" t="s">
        <v>64</v>
      </c>
      <c r="H42" s="20" t="s">
        <v>27</v>
      </c>
      <c r="I42" s="21">
        <v>45124.0</v>
      </c>
      <c r="J42" s="21"/>
      <c r="K42" s="20" t="s">
        <v>50</v>
      </c>
      <c r="L42" s="18"/>
      <c r="M42" s="18"/>
      <c r="N42" s="18"/>
      <c r="O42" s="22">
        <v>104.9</v>
      </c>
      <c r="P42" s="23">
        <f>IFERROR(__xludf.DUMMYFUNCTION("IFERROR(IFS(O42="""","""",O42&lt;&gt;"""",FILTER('Нормативные показатели (рабочая'!$G:$G,'Нормативные показатели (рабочая'!$F:$F=$C42,'Нормативные показатели (рабочая'!$B:$B&lt;=$E42,'Нормативные показатели (рабочая'!$C:$C&gt;=$E42,'Нормативные показатели (рабочая'!$"&amp;"E:$E=$K42)),""нет нормы"")"),115.0)</f>
        <v>115</v>
      </c>
      <c r="Q42" s="24">
        <f t="shared" si="1"/>
        <v>-0.08782608696</v>
      </c>
      <c r="R42" s="19" t="s">
        <v>29</v>
      </c>
      <c r="S42" s="18"/>
      <c r="T42" s="22"/>
      <c r="U42" s="18"/>
      <c r="V42" s="31"/>
      <c r="W42" s="25"/>
    </row>
    <row r="43" ht="15.75" customHeight="1">
      <c r="A43" s="16" t="s">
        <v>35</v>
      </c>
      <c r="B43" s="16" t="s">
        <v>36</v>
      </c>
      <c r="C43" s="16" t="s">
        <v>25</v>
      </c>
      <c r="D43" s="18">
        <v>4.0</v>
      </c>
      <c r="E43" s="18">
        <v>19.0</v>
      </c>
      <c r="F43" s="16" t="s">
        <v>48</v>
      </c>
      <c r="G43" s="18" t="s">
        <v>65</v>
      </c>
      <c r="H43" s="20" t="s">
        <v>27</v>
      </c>
      <c r="I43" s="21">
        <v>45125.0</v>
      </c>
      <c r="J43" s="21"/>
      <c r="K43" s="20" t="s">
        <v>37</v>
      </c>
      <c r="L43" s="18"/>
      <c r="M43" s="18"/>
      <c r="N43" s="18"/>
      <c r="O43" s="22">
        <v>203.77</v>
      </c>
      <c r="P43" s="30" t="s">
        <v>66</v>
      </c>
      <c r="Q43" s="24" t="str">
        <f t="shared" si="1"/>
        <v>нет</v>
      </c>
      <c r="R43" s="19" t="s">
        <v>67</v>
      </c>
      <c r="S43" s="25"/>
      <c r="T43" s="26"/>
      <c r="U43" s="18"/>
      <c r="V43" s="31"/>
      <c r="W43" s="25"/>
    </row>
    <row r="44" ht="15.75" customHeight="1">
      <c r="A44" s="16" t="s">
        <v>35</v>
      </c>
      <c r="B44" s="16" t="s">
        <v>36</v>
      </c>
      <c r="C44" s="16" t="s">
        <v>25</v>
      </c>
      <c r="D44" s="18">
        <v>4.0</v>
      </c>
      <c r="E44" s="18">
        <v>19.0</v>
      </c>
      <c r="F44" s="16" t="s">
        <v>49</v>
      </c>
      <c r="G44" s="18" t="s">
        <v>64</v>
      </c>
      <c r="H44" s="20" t="s">
        <v>27</v>
      </c>
      <c r="I44" s="21">
        <v>45125.0</v>
      </c>
      <c r="J44" s="21"/>
      <c r="K44" s="20" t="s">
        <v>50</v>
      </c>
      <c r="L44" s="18"/>
      <c r="M44" s="18"/>
      <c r="N44" s="18"/>
      <c r="O44" s="22">
        <v>104.9</v>
      </c>
      <c r="P44" s="23">
        <f>IFERROR(__xludf.DUMMYFUNCTION("IFERROR(IFS(O44="""","""",O44&lt;&gt;"""",FILTER('Нормативные показатели (рабочая'!$G:$G,'Нормативные показатели (рабочая'!$F:$F=$C44,'Нормативные показатели (рабочая'!$B:$B&lt;=$E44,'Нормативные показатели (рабочая'!$C:$C&gt;=$E44,'Нормативные показатели (рабочая'!$"&amp;"E:$E=$K44)),""нет нормы"")"),115.0)</f>
        <v>115</v>
      </c>
      <c r="Q44" s="24">
        <f t="shared" si="1"/>
        <v>-0.08782608696</v>
      </c>
      <c r="R44" s="19" t="s">
        <v>29</v>
      </c>
      <c r="S44" s="25"/>
      <c r="T44" s="26"/>
      <c r="U44" s="18"/>
      <c r="V44" s="31"/>
      <c r="W44" s="25"/>
    </row>
    <row r="45" ht="15.75" customHeight="1">
      <c r="A45" s="16" t="s">
        <v>35</v>
      </c>
      <c r="B45" s="16" t="s">
        <v>36</v>
      </c>
      <c r="C45" s="16" t="s">
        <v>25</v>
      </c>
      <c r="D45" s="18">
        <v>1.2</v>
      </c>
      <c r="E45" s="18">
        <v>30.0</v>
      </c>
      <c r="F45" s="16" t="s">
        <v>49</v>
      </c>
      <c r="G45" s="19"/>
      <c r="H45" s="20" t="s">
        <v>27</v>
      </c>
      <c r="I45" s="21">
        <v>45125.0</v>
      </c>
      <c r="J45" s="21"/>
      <c r="K45" s="20" t="s">
        <v>50</v>
      </c>
      <c r="L45" s="18"/>
      <c r="M45" s="18"/>
      <c r="N45" s="18"/>
      <c r="O45" s="22">
        <v>114.5</v>
      </c>
      <c r="P45" s="30">
        <v>115.0</v>
      </c>
      <c r="Q45" s="24">
        <f t="shared" si="1"/>
        <v>-0.004347826087</v>
      </c>
      <c r="R45" s="19" t="s">
        <v>29</v>
      </c>
      <c r="S45" s="25"/>
      <c r="T45" s="26"/>
      <c r="U45" s="25"/>
      <c r="V45" s="27"/>
      <c r="W45" s="25"/>
    </row>
    <row r="46" ht="15.75" customHeight="1">
      <c r="A46" s="16" t="s">
        <v>35</v>
      </c>
      <c r="B46" s="16" t="s">
        <v>36</v>
      </c>
      <c r="C46" s="16" t="s">
        <v>25</v>
      </c>
      <c r="D46" s="18">
        <v>4.0</v>
      </c>
      <c r="E46" s="18">
        <v>19.0</v>
      </c>
      <c r="F46" s="16" t="s">
        <v>68</v>
      </c>
      <c r="G46" s="20" t="s">
        <v>69</v>
      </c>
      <c r="H46" s="20" t="s">
        <v>27</v>
      </c>
      <c r="I46" s="21">
        <v>45125.0</v>
      </c>
      <c r="J46" s="21"/>
      <c r="K46" s="20" t="s">
        <v>70</v>
      </c>
      <c r="L46" s="18"/>
      <c r="M46" s="18"/>
      <c r="N46" s="18"/>
      <c r="O46" s="22">
        <v>255.3</v>
      </c>
      <c r="P46" s="23">
        <f>IFERROR(__xludf.DUMMYFUNCTION("IFERROR(IFS(O46="""","""",O46&lt;&gt;"""",FILTER('Нормативные показатели (рабочая'!$G:$G,'Нормативные показатели (рабочая'!$F:$F=$C46,'Нормативные показатели (рабочая'!$B:$B&lt;=$E46,'Нормативные показатели (рабочая'!$C:$C&gt;=$E46,'Нормативные показатели (рабочая'!$"&amp;"E:$E=$K46)),""нет нормы"")"),250.0)</f>
        <v>250</v>
      </c>
      <c r="Q46" s="24">
        <f t="shared" si="1"/>
        <v>0.0212</v>
      </c>
      <c r="R46" s="19" t="s">
        <v>29</v>
      </c>
      <c r="S46" s="25"/>
      <c r="T46" s="26"/>
      <c r="U46" s="25"/>
      <c r="V46" s="27"/>
      <c r="W46" s="25"/>
    </row>
    <row r="47" ht="15.75" customHeight="1">
      <c r="A47" s="16" t="s">
        <v>35</v>
      </c>
      <c r="B47" s="16" t="s">
        <v>36</v>
      </c>
      <c r="C47" s="16" t="s">
        <v>25</v>
      </c>
      <c r="D47" s="18">
        <v>4.0</v>
      </c>
      <c r="E47" s="18">
        <v>19.0</v>
      </c>
      <c r="F47" s="16" t="s">
        <v>68</v>
      </c>
      <c r="G47" s="20" t="s">
        <v>71</v>
      </c>
      <c r="H47" s="20" t="s">
        <v>27</v>
      </c>
      <c r="I47" s="21">
        <v>45125.0</v>
      </c>
      <c r="J47" s="21"/>
      <c r="K47" s="20" t="s">
        <v>37</v>
      </c>
      <c r="L47" s="18"/>
      <c r="M47" s="18"/>
      <c r="N47" s="18"/>
      <c r="O47" s="22">
        <v>196.0</v>
      </c>
      <c r="P47" s="23">
        <f>IFERROR(__xludf.DUMMYFUNCTION("IFERROR(IFS(O47="""","""",O47&lt;&gt;"""",FILTER('Нормативные показатели (рабочая'!$G:$G,'Нормативные показатели (рабочая'!$F:$F=$C47,'Нормативные показатели (рабочая'!$B:$B&lt;=$E47,'Нормативные показатели (рабочая'!$C:$C&gt;=$E47,'Нормативные показатели (рабочая'!$"&amp;"E:$E=$K47)),""нет нормы"")"),125.0)</f>
        <v>125</v>
      </c>
      <c r="Q47" s="24">
        <f t="shared" si="1"/>
        <v>0.568</v>
      </c>
      <c r="R47" s="19" t="s">
        <v>67</v>
      </c>
      <c r="S47" s="25"/>
      <c r="T47" s="26"/>
      <c r="U47" s="25"/>
      <c r="V47" s="27"/>
      <c r="W47" s="25"/>
    </row>
    <row r="48" ht="15.75" customHeight="1">
      <c r="A48" s="16" t="s">
        <v>35</v>
      </c>
      <c r="B48" s="16" t="s">
        <v>36</v>
      </c>
      <c r="C48" s="16" t="s">
        <v>25</v>
      </c>
      <c r="D48" s="18">
        <v>1.2</v>
      </c>
      <c r="E48" s="18">
        <v>30.0</v>
      </c>
      <c r="F48" s="16" t="s">
        <v>68</v>
      </c>
      <c r="G48" s="20" t="s">
        <v>72</v>
      </c>
      <c r="H48" s="20" t="s">
        <v>27</v>
      </c>
      <c r="I48" s="21">
        <v>45125.0</v>
      </c>
      <c r="J48" s="21"/>
      <c r="K48" s="20" t="s">
        <v>37</v>
      </c>
      <c r="L48" s="18"/>
      <c r="M48" s="18">
        <v>161680.4</v>
      </c>
      <c r="N48" s="18">
        <v>712.0</v>
      </c>
      <c r="O48" s="26">
        <f>M48/N48</f>
        <v>227.0792135</v>
      </c>
      <c r="P48" s="23" t="str">
        <f>IFERROR(__xludf.DUMMYFUNCTION("IFERROR(IFS(O48="""","""",O48&lt;&gt;"""",FILTER('Нормативные показатели (рабочая'!$G:$G,'Нормативные показатели (рабочая'!$F:$F=$C48,'Нормативные показатели (рабочая'!$B:$B&lt;=$E48,'Нормативные показатели (рабочая'!$C:$C&gt;=$E48,'Нормативные показатели (рабочая'!$"&amp;"E:$E=$K48)),""нет нормы"")"),"нет нормы")</f>
        <v>нет нормы</v>
      </c>
      <c r="Q48" s="24" t="str">
        <f t="shared" si="1"/>
        <v>нет</v>
      </c>
      <c r="R48" s="19" t="s">
        <v>29</v>
      </c>
      <c r="S48" s="25"/>
      <c r="T48" s="26"/>
      <c r="U48" s="18" t="s">
        <v>73</v>
      </c>
      <c r="V48" s="31"/>
      <c r="W48" s="25"/>
    </row>
    <row r="49" ht="15.75" customHeight="1">
      <c r="A49" s="16" t="s">
        <v>35</v>
      </c>
      <c r="B49" s="16" t="s">
        <v>36</v>
      </c>
      <c r="C49" s="16" t="s">
        <v>25</v>
      </c>
      <c r="D49" s="18">
        <v>1.2</v>
      </c>
      <c r="E49" s="18">
        <v>30.0</v>
      </c>
      <c r="F49" s="16" t="s">
        <v>74</v>
      </c>
      <c r="G49" s="20" t="s">
        <v>75</v>
      </c>
      <c r="H49" s="20" t="s">
        <v>27</v>
      </c>
      <c r="I49" s="21">
        <v>45125.0</v>
      </c>
      <c r="J49" s="21"/>
      <c r="K49" s="20" t="s">
        <v>70</v>
      </c>
      <c r="L49" s="18"/>
      <c r="M49" s="18"/>
      <c r="N49" s="18"/>
      <c r="O49" s="22">
        <v>319.5</v>
      </c>
      <c r="P49" s="23" t="str">
        <f>IFERROR(__xludf.DUMMYFUNCTION("IFERROR(IFS(O49="""","""",O49&lt;&gt;"""",FILTER('Нормативные показатели (рабочая'!$G:$G,'Нормативные показатели (рабочая'!$F:$F=$C49,'Нормативные показатели (рабочая'!$B:$B&lt;=$E49,'Нормативные показатели (рабочая'!$C:$C&gt;=$E49,'Нормативные показатели (рабочая'!$"&amp;"E:$E=$K49)),""нет нормы"")"),"нет нормы")</f>
        <v>нет нормы</v>
      </c>
      <c r="Q49" s="24" t="str">
        <f t="shared" si="1"/>
        <v>нет</v>
      </c>
      <c r="R49" s="19" t="s">
        <v>29</v>
      </c>
      <c r="S49" s="25"/>
      <c r="T49" s="26"/>
      <c r="U49" s="18" t="s">
        <v>76</v>
      </c>
      <c r="V49" s="31"/>
      <c r="W49" s="25"/>
    </row>
    <row r="50" ht="15.75" customHeight="1">
      <c r="A50" s="16" t="s">
        <v>35</v>
      </c>
      <c r="B50" s="16" t="s">
        <v>36</v>
      </c>
      <c r="C50" s="16" t="s">
        <v>25</v>
      </c>
      <c r="D50" s="18">
        <v>1.2</v>
      </c>
      <c r="E50" s="18">
        <v>30.0</v>
      </c>
      <c r="F50" s="16" t="s">
        <v>48</v>
      </c>
      <c r="G50" s="20" t="s">
        <v>77</v>
      </c>
      <c r="H50" s="20">
        <v>1.0</v>
      </c>
      <c r="I50" s="21">
        <v>45125.0</v>
      </c>
      <c r="J50" s="21"/>
      <c r="K50" s="20" t="s">
        <v>37</v>
      </c>
      <c r="L50" s="18"/>
      <c r="M50" s="18"/>
      <c r="N50" s="18"/>
      <c r="O50" s="22">
        <v>238.8</v>
      </c>
      <c r="P50" s="23" t="str">
        <f>IFERROR(__xludf.DUMMYFUNCTION("IFERROR(IFS(O50="""","""",O50&lt;&gt;"""",FILTER('Нормативные показатели (рабочая'!$G:$G,'Нормативные показатели (рабочая'!$F:$F=$C50,'Нормативные показатели (рабочая'!$B:$B&lt;=$E50,'Нормативные показатели (рабочая'!$C:$C&gt;=$E50,'Нормативные показатели (рабочая'!$"&amp;"E:$E=$K50)),""нет нормы"")"),"нет нормы")</f>
        <v>нет нормы</v>
      </c>
      <c r="Q50" s="24" t="str">
        <f t="shared" si="1"/>
        <v>нет</v>
      </c>
      <c r="R50" s="19" t="s">
        <v>67</v>
      </c>
      <c r="S50" s="25"/>
      <c r="T50" s="26"/>
      <c r="U50" s="25"/>
      <c r="V50" s="27"/>
      <c r="W50" s="25"/>
    </row>
    <row r="51" ht="15.75" customHeight="1">
      <c r="A51" s="16" t="s">
        <v>35</v>
      </c>
      <c r="B51" s="16" t="s">
        <v>36</v>
      </c>
      <c r="C51" s="16" t="s">
        <v>25</v>
      </c>
      <c r="D51" s="18">
        <v>1.2</v>
      </c>
      <c r="E51" s="18">
        <v>30.0</v>
      </c>
      <c r="F51" s="16" t="s">
        <v>48</v>
      </c>
      <c r="G51" s="20" t="s">
        <v>78</v>
      </c>
      <c r="H51" s="20" t="s">
        <v>27</v>
      </c>
      <c r="I51" s="21">
        <v>45125.0</v>
      </c>
      <c r="J51" s="21"/>
      <c r="K51" s="20" t="s">
        <v>37</v>
      </c>
      <c r="L51" s="18"/>
      <c r="M51" s="18"/>
      <c r="N51" s="18"/>
      <c r="O51" s="22">
        <v>234.7</v>
      </c>
      <c r="P51" s="23" t="str">
        <f>IFERROR(__xludf.DUMMYFUNCTION("IFERROR(IFS(O51="""","""",O51&lt;&gt;"""",FILTER('Нормативные показатели (рабочая'!$G:$G,'Нормативные показатели (рабочая'!$F:$F=$C51,'Нормативные показатели (рабочая'!$B:$B&lt;=$E51,'Нормативные показатели (рабочая'!$C:$C&gt;=$E51,'Нормативные показатели (рабочая'!$"&amp;"E:$E=$K51)),""нет нормы"")"),"нет нормы")</f>
        <v>нет нормы</v>
      </c>
      <c r="Q51" s="24" t="str">
        <f t="shared" si="1"/>
        <v>нет</v>
      </c>
      <c r="R51" s="19" t="s">
        <v>67</v>
      </c>
      <c r="S51" s="25"/>
      <c r="T51" s="26"/>
      <c r="U51" s="25"/>
      <c r="V51" s="27"/>
      <c r="W51" s="25"/>
    </row>
    <row r="52" ht="22.5" customHeight="1">
      <c r="A52" s="16" t="s">
        <v>35</v>
      </c>
      <c r="B52" s="16" t="s">
        <v>36</v>
      </c>
      <c r="C52" s="16" t="s">
        <v>25</v>
      </c>
      <c r="D52" s="18">
        <v>1.2</v>
      </c>
      <c r="E52" s="18">
        <v>30.0</v>
      </c>
      <c r="F52" s="16" t="s">
        <v>48</v>
      </c>
      <c r="G52" s="20" t="s">
        <v>79</v>
      </c>
      <c r="H52" s="20" t="s">
        <v>27</v>
      </c>
      <c r="I52" s="21">
        <v>45125.0</v>
      </c>
      <c r="J52" s="21"/>
      <c r="K52" s="20" t="s">
        <v>37</v>
      </c>
      <c r="L52" s="18"/>
      <c r="M52" s="18"/>
      <c r="N52" s="18"/>
      <c r="O52" s="22">
        <v>291.7</v>
      </c>
      <c r="P52" s="23" t="str">
        <f>IFERROR(__xludf.DUMMYFUNCTION("IFERROR(IFS(O52="""","""",O52&lt;&gt;"""",FILTER('Нормативные показатели (рабочая'!$G:$G,'Нормативные показатели (рабочая'!$F:$F=$C52,'Нормативные показатели (рабочая'!$B:$B&lt;=$E52,'Нормативные показатели (рабочая'!$C:$C&gt;=$E52,'Нормативные показатели (рабочая'!$"&amp;"E:$E=$K52)),""нет нормы"")"),"нет нормы")</f>
        <v>нет нормы</v>
      </c>
      <c r="Q52" s="24" t="str">
        <f t="shared" si="1"/>
        <v>нет</v>
      </c>
      <c r="R52" s="19" t="s">
        <v>67</v>
      </c>
      <c r="S52" s="25"/>
      <c r="T52" s="26"/>
      <c r="U52" s="25"/>
      <c r="V52" s="27"/>
      <c r="W52" s="25"/>
    </row>
    <row r="53" ht="15.75" customHeight="1">
      <c r="A53" s="16" t="s">
        <v>30</v>
      </c>
      <c r="B53" s="16" t="s">
        <v>31</v>
      </c>
      <c r="C53" s="16" t="s">
        <v>25</v>
      </c>
      <c r="D53" s="17">
        <v>44927.0</v>
      </c>
      <c r="E53" s="18">
        <v>16.0</v>
      </c>
      <c r="F53" s="16" t="s">
        <v>32</v>
      </c>
      <c r="G53" s="16" t="s">
        <v>80</v>
      </c>
      <c r="H53" s="20">
        <v>1.0</v>
      </c>
      <c r="I53" s="21">
        <v>45125.0</v>
      </c>
      <c r="J53" s="21"/>
      <c r="K53" s="20" t="s">
        <v>81</v>
      </c>
      <c r="L53" s="18"/>
      <c r="M53" s="18"/>
      <c r="N53" s="18"/>
      <c r="O53" s="22">
        <v>117.39</v>
      </c>
      <c r="P53" s="23">
        <f>IFERROR(__xludf.DUMMYFUNCTION("IFERROR(IFS(O53="""","""",O53&lt;&gt;"""",FILTER('Нормативные показатели (рабочая'!$G:$G,'Нормативные показатели (рабочая'!$F:$F=$C53,'Нормативные показатели (рабочая'!$B:$B&lt;=$E53,'Нормативные показатели (рабочая'!$C:$C&gt;=$E53,'Нормативные показатели (рабочая'!$"&amp;"E:$E=$K53)),""нет нормы"")"),115.0)</f>
        <v>115</v>
      </c>
      <c r="Q53" s="24">
        <f t="shared" si="1"/>
        <v>0.0207826087</v>
      </c>
      <c r="R53" s="19" t="s">
        <v>29</v>
      </c>
      <c r="S53" s="25"/>
      <c r="T53" s="26"/>
      <c r="U53" s="25"/>
      <c r="V53" s="27"/>
      <c r="W53" s="25"/>
    </row>
    <row r="54" ht="15.75" customHeight="1">
      <c r="A54" s="16" t="s">
        <v>30</v>
      </c>
      <c r="B54" s="16" t="s">
        <v>31</v>
      </c>
      <c r="C54" s="16" t="s">
        <v>25</v>
      </c>
      <c r="D54" s="18">
        <v>2.0</v>
      </c>
      <c r="E54" s="18">
        <v>14.0</v>
      </c>
      <c r="F54" s="16" t="s">
        <v>32</v>
      </c>
      <c r="G54" s="16" t="s">
        <v>80</v>
      </c>
      <c r="H54" s="20">
        <v>1.0</v>
      </c>
      <c r="I54" s="21">
        <v>45125.0</v>
      </c>
      <c r="J54" s="21"/>
      <c r="K54" s="20" t="s">
        <v>81</v>
      </c>
      <c r="L54" s="18"/>
      <c r="M54" s="18"/>
      <c r="N54" s="18"/>
      <c r="O54" s="22">
        <v>112.97</v>
      </c>
      <c r="P54" s="23">
        <f>IFERROR(__xludf.DUMMYFUNCTION("IFERROR(IFS(O54="""","""",O54&lt;&gt;"""",FILTER('Нормативные показатели (рабочая'!$G:$G,'Нормативные показатели (рабочая'!$F:$F=$C54,'Нормативные показатели (рабочая'!$B:$B&lt;=$E54,'Нормативные показатели (рабочая'!$C:$C&gt;=$E54,'Нормативные показатели (рабочая'!$"&amp;"E:$E=$K54)),""нет нормы"")"),115.0)</f>
        <v>115</v>
      </c>
      <c r="Q54" s="24">
        <f t="shared" si="1"/>
        <v>-0.01765217391</v>
      </c>
      <c r="R54" s="19" t="s">
        <v>29</v>
      </c>
      <c r="S54" s="25"/>
      <c r="T54" s="26"/>
      <c r="U54" s="25"/>
      <c r="V54" s="27"/>
      <c r="W54" s="25"/>
    </row>
    <row r="55" ht="15.75" customHeight="1">
      <c r="A55" s="16" t="s">
        <v>30</v>
      </c>
      <c r="B55" s="16" t="s">
        <v>31</v>
      </c>
      <c r="C55" s="16" t="s">
        <v>25</v>
      </c>
      <c r="D55" s="18">
        <v>3.0</v>
      </c>
      <c r="E55" s="18">
        <v>13.0</v>
      </c>
      <c r="F55" s="16" t="s">
        <v>32</v>
      </c>
      <c r="G55" s="16" t="s">
        <v>80</v>
      </c>
      <c r="H55" s="20">
        <v>1.0</v>
      </c>
      <c r="I55" s="21">
        <v>45125.0</v>
      </c>
      <c r="J55" s="21"/>
      <c r="K55" s="20" t="s">
        <v>81</v>
      </c>
      <c r="L55" s="18"/>
      <c r="M55" s="18"/>
      <c r="N55" s="18"/>
      <c r="O55" s="22">
        <v>117.73</v>
      </c>
      <c r="P55" s="23">
        <f>IFERROR(__xludf.DUMMYFUNCTION("IFERROR(IFS(O55="""","""",O55&lt;&gt;"""",FILTER('Нормативные показатели (рабочая'!$G:$G,'Нормативные показатели (рабочая'!$F:$F=$C55,'Нормативные показатели (рабочая'!$B:$B&lt;=$E55,'Нормативные показатели (рабочая'!$C:$C&gt;=$E55,'Нормативные показатели (рабочая'!$"&amp;"E:$E=$K55)),""нет нормы"")"),115.0)</f>
        <v>115</v>
      </c>
      <c r="Q55" s="24">
        <f t="shared" si="1"/>
        <v>0.02373913043</v>
      </c>
      <c r="R55" s="19" t="s">
        <v>29</v>
      </c>
      <c r="S55" s="25"/>
      <c r="T55" s="26"/>
      <c r="U55" s="25"/>
      <c r="V55" s="27"/>
      <c r="W55" s="25"/>
    </row>
    <row r="56" ht="15.75" customHeight="1">
      <c r="A56" s="16" t="s">
        <v>30</v>
      </c>
      <c r="B56" s="16" t="s">
        <v>31</v>
      </c>
      <c r="C56" s="16" t="s">
        <v>25</v>
      </c>
      <c r="D56" s="17">
        <v>44927.0</v>
      </c>
      <c r="E56" s="18">
        <v>16.0</v>
      </c>
      <c r="F56" s="16" t="s">
        <v>61</v>
      </c>
      <c r="G56" s="16" t="s">
        <v>82</v>
      </c>
      <c r="H56" s="20" t="s">
        <v>27</v>
      </c>
      <c r="I56" s="21">
        <v>45125.0</v>
      </c>
      <c r="J56" s="21"/>
      <c r="K56" s="20" t="s">
        <v>37</v>
      </c>
      <c r="L56" s="18"/>
      <c r="M56" s="18"/>
      <c r="N56" s="18"/>
      <c r="O56" s="22">
        <v>123.56</v>
      </c>
      <c r="P56" s="23">
        <f>IFERROR(__xludf.DUMMYFUNCTION("IFERROR(IFS(O56="""","""",O56&lt;&gt;"""",FILTER('Нормативные показатели (рабочая'!$G:$G,'Нормативные показатели (рабочая'!$F:$F=$C56,'Нормативные показатели (рабочая'!$B:$B&lt;=$E56,'Нормативные показатели (рабочая'!$C:$C&gt;=$E56,'Нормативные показатели (рабочая'!$"&amp;"E:$E=$K56)),""нет нормы"")"),125.0)</f>
        <v>125</v>
      </c>
      <c r="Q56" s="24">
        <f t="shared" si="1"/>
        <v>-0.01152</v>
      </c>
      <c r="R56" s="19" t="s">
        <v>29</v>
      </c>
      <c r="S56" s="25"/>
      <c r="T56" s="26"/>
      <c r="U56" s="25"/>
      <c r="V56" s="27"/>
      <c r="W56" s="25"/>
    </row>
    <row r="57" ht="15.75" customHeight="1">
      <c r="A57" s="16" t="s">
        <v>23</v>
      </c>
      <c r="B57" s="16" t="s">
        <v>46</v>
      </c>
      <c r="C57" s="16" t="s">
        <v>25</v>
      </c>
      <c r="D57" s="18">
        <v>2.0</v>
      </c>
      <c r="E57" s="18">
        <v>32.0</v>
      </c>
      <c r="F57" s="16" t="s">
        <v>61</v>
      </c>
      <c r="G57" s="19"/>
      <c r="H57" s="20" t="s">
        <v>27</v>
      </c>
      <c r="I57" s="21">
        <v>45126.0</v>
      </c>
      <c r="J57" s="21"/>
      <c r="K57" s="20" t="s">
        <v>37</v>
      </c>
      <c r="L57" s="18"/>
      <c r="M57" s="18"/>
      <c r="N57" s="18"/>
      <c r="O57" s="22">
        <v>161.0</v>
      </c>
      <c r="P57" s="30" t="s">
        <v>83</v>
      </c>
      <c r="Q57" s="24" t="str">
        <f t="shared" si="1"/>
        <v>нет</v>
      </c>
      <c r="R57" s="19" t="s">
        <v>29</v>
      </c>
      <c r="S57" s="25"/>
      <c r="T57" s="26"/>
      <c r="U57" s="18" t="s">
        <v>84</v>
      </c>
      <c r="V57" s="31"/>
      <c r="W57" s="25"/>
    </row>
    <row r="58" ht="15.75" customHeight="1">
      <c r="A58" s="16" t="s">
        <v>23</v>
      </c>
      <c r="B58" s="16" t="s">
        <v>46</v>
      </c>
      <c r="C58" s="16" t="s">
        <v>25</v>
      </c>
      <c r="D58" s="18">
        <v>2.0</v>
      </c>
      <c r="E58" s="18">
        <v>32.0</v>
      </c>
      <c r="F58" s="16" t="s">
        <v>63</v>
      </c>
      <c r="G58" s="16" t="s">
        <v>85</v>
      </c>
      <c r="H58" s="20" t="s">
        <v>27</v>
      </c>
      <c r="I58" s="21">
        <v>45127.0</v>
      </c>
      <c r="J58" s="21"/>
      <c r="K58" s="20" t="s">
        <v>50</v>
      </c>
      <c r="L58" s="18"/>
      <c r="M58" s="18"/>
      <c r="N58" s="18"/>
      <c r="O58" s="22">
        <v>112.7</v>
      </c>
      <c r="P58" s="30">
        <v>115.0</v>
      </c>
      <c r="Q58" s="24">
        <f t="shared" si="1"/>
        <v>-0.02</v>
      </c>
      <c r="R58" s="19" t="s">
        <v>29</v>
      </c>
      <c r="S58" s="25"/>
      <c r="T58" s="26"/>
      <c r="U58" s="25"/>
      <c r="V58" s="27"/>
      <c r="W58" s="25"/>
    </row>
    <row r="59" ht="15.75" customHeight="1">
      <c r="A59" s="16" t="s">
        <v>23</v>
      </c>
      <c r="B59" s="16" t="s">
        <v>46</v>
      </c>
      <c r="C59" s="16" t="s">
        <v>25</v>
      </c>
      <c r="D59" s="18">
        <v>4.0</v>
      </c>
      <c r="E59" s="18">
        <v>25.0</v>
      </c>
      <c r="F59" s="16" t="s">
        <v>63</v>
      </c>
      <c r="G59" s="16" t="s">
        <v>86</v>
      </c>
      <c r="H59" s="20" t="s">
        <v>27</v>
      </c>
      <c r="I59" s="21">
        <v>45127.0</v>
      </c>
      <c r="J59" s="21"/>
      <c r="K59" s="20" t="s">
        <v>50</v>
      </c>
      <c r="L59" s="18"/>
      <c r="M59" s="18"/>
      <c r="N59" s="18"/>
      <c r="O59" s="22">
        <v>105.5</v>
      </c>
      <c r="P59" s="23">
        <f>IFERROR(__xludf.DUMMYFUNCTION("IFERROR(IFS(O59="""","""",O59&lt;&gt;"""",FILTER('Нормативные показатели (рабочая'!$G:$G,'Нормативные показатели (рабочая'!$F:$F=$C59,'Нормативные показатели (рабочая'!$B:$B&lt;=$E59,'Нормативные показатели (рабочая'!$C:$C&gt;=$E59,'Нормативные показатели (рабочая'!$"&amp;"E:$E=$K59)),""нет нормы"")"),115.0)</f>
        <v>115</v>
      </c>
      <c r="Q59" s="24">
        <f t="shared" si="1"/>
        <v>-0.08260869565</v>
      </c>
      <c r="R59" s="19" t="s">
        <v>29</v>
      </c>
      <c r="S59" s="25"/>
      <c r="T59" s="26"/>
      <c r="U59" s="25"/>
      <c r="V59" s="27"/>
      <c r="W59" s="25"/>
    </row>
    <row r="60" ht="15.75" customHeight="1">
      <c r="A60" s="16" t="s">
        <v>23</v>
      </c>
      <c r="B60" s="16" t="s">
        <v>46</v>
      </c>
      <c r="C60" s="16" t="s">
        <v>25</v>
      </c>
      <c r="D60" s="18">
        <v>6.0</v>
      </c>
      <c r="E60" s="18">
        <v>15.0</v>
      </c>
      <c r="F60" s="16" t="s">
        <v>63</v>
      </c>
      <c r="G60" s="16" t="s">
        <v>87</v>
      </c>
      <c r="H60" s="20" t="s">
        <v>27</v>
      </c>
      <c r="I60" s="21">
        <v>45127.0</v>
      </c>
      <c r="J60" s="21"/>
      <c r="K60" s="20" t="s">
        <v>50</v>
      </c>
      <c r="L60" s="18"/>
      <c r="M60" s="18"/>
      <c r="N60" s="18"/>
      <c r="O60" s="22">
        <v>96.3</v>
      </c>
      <c r="P60" s="23">
        <f>IFERROR(__xludf.DUMMYFUNCTION("IFERROR(IFS(O60="""","""",O60&lt;&gt;"""",FILTER('Нормативные показатели (рабочая'!$G:$G,'Нормативные показатели (рабочая'!$F:$F=$C60,'Нормативные показатели (рабочая'!$B:$B&lt;=$E60,'Нормативные показатели (рабочая'!$C:$C&gt;=$E60,'Нормативные показатели (рабочая'!$"&amp;"E:$E=$K60)),""нет нормы"")"),115.0)</f>
        <v>115</v>
      </c>
      <c r="Q60" s="24">
        <f t="shared" si="1"/>
        <v>-0.1626086957</v>
      </c>
      <c r="R60" s="19" t="s">
        <v>29</v>
      </c>
      <c r="S60" s="25"/>
      <c r="T60" s="26"/>
      <c r="U60" s="25"/>
      <c r="V60" s="27"/>
      <c r="W60" s="25"/>
    </row>
    <row r="61" ht="15.75" customHeight="1">
      <c r="A61" s="16" t="s">
        <v>23</v>
      </c>
      <c r="B61" s="16" t="s">
        <v>24</v>
      </c>
      <c r="C61" s="16" t="s">
        <v>25</v>
      </c>
      <c r="D61" s="17">
        <v>44958.0</v>
      </c>
      <c r="E61" s="18">
        <v>11.0</v>
      </c>
      <c r="F61" s="16" t="s">
        <v>57</v>
      </c>
      <c r="G61" s="19"/>
      <c r="H61" s="20" t="s">
        <v>27</v>
      </c>
      <c r="I61" s="21">
        <v>45127.0</v>
      </c>
      <c r="J61" s="25"/>
      <c r="K61" s="20" t="s">
        <v>88</v>
      </c>
      <c r="L61" s="18"/>
      <c r="M61" s="18">
        <v>26107.08</v>
      </c>
      <c r="N61" s="18">
        <v>144.4</v>
      </c>
      <c r="O61" s="26">
        <f t="shared" ref="O61:O105" si="2">ROUND(M61/N61,1)</f>
        <v>180.8</v>
      </c>
      <c r="P61" s="30">
        <v>200.0</v>
      </c>
      <c r="Q61" s="24">
        <f t="shared" si="1"/>
        <v>-0.096</v>
      </c>
      <c r="R61" s="19" t="s">
        <v>29</v>
      </c>
      <c r="S61" s="25"/>
      <c r="T61" s="26"/>
      <c r="U61" s="25"/>
      <c r="V61" s="27"/>
      <c r="W61" s="25"/>
    </row>
    <row r="62" ht="15.75" customHeight="1">
      <c r="A62" s="16" t="s">
        <v>23</v>
      </c>
      <c r="B62" s="16" t="s">
        <v>24</v>
      </c>
      <c r="C62" s="16" t="s">
        <v>25</v>
      </c>
      <c r="D62" s="18">
        <v>2.0</v>
      </c>
      <c r="E62" s="18">
        <v>18.0</v>
      </c>
      <c r="F62" s="16" t="s">
        <v>57</v>
      </c>
      <c r="G62" s="19"/>
      <c r="H62" s="20" t="s">
        <v>27</v>
      </c>
      <c r="I62" s="21">
        <v>45127.0</v>
      </c>
      <c r="J62" s="25"/>
      <c r="K62" s="20" t="s">
        <v>88</v>
      </c>
      <c r="L62" s="18"/>
      <c r="M62" s="18">
        <v>37550.34</v>
      </c>
      <c r="N62" s="18">
        <v>163.04</v>
      </c>
      <c r="O62" s="26">
        <f t="shared" si="2"/>
        <v>230.3</v>
      </c>
      <c r="P62" s="30">
        <v>200.0</v>
      </c>
      <c r="Q62" s="24">
        <f t="shared" si="1"/>
        <v>0.1515</v>
      </c>
      <c r="R62" s="19" t="s">
        <v>29</v>
      </c>
      <c r="S62" s="25"/>
      <c r="T62" s="26"/>
      <c r="U62" s="18" t="s">
        <v>89</v>
      </c>
      <c r="V62" s="27"/>
      <c r="W62" s="25"/>
    </row>
    <row r="63" ht="15.75" customHeight="1">
      <c r="A63" s="16" t="s">
        <v>23</v>
      </c>
      <c r="B63" s="16" t="s">
        <v>24</v>
      </c>
      <c r="C63" s="16" t="s">
        <v>25</v>
      </c>
      <c r="D63" s="17">
        <v>44929.0</v>
      </c>
      <c r="E63" s="18">
        <v>15.0</v>
      </c>
      <c r="F63" s="16" t="s">
        <v>57</v>
      </c>
      <c r="G63" s="19"/>
      <c r="H63" s="20" t="s">
        <v>27</v>
      </c>
      <c r="I63" s="21">
        <v>45127.0</v>
      </c>
      <c r="J63" s="25"/>
      <c r="K63" s="20" t="s">
        <v>88</v>
      </c>
      <c r="L63" s="18"/>
      <c r="M63" s="18">
        <v>20543.12</v>
      </c>
      <c r="N63" s="18">
        <v>104.63</v>
      </c>
      <c r="O63" s="26">
        <f t="shared" si="2"/>
        <v>196.3</v>
      </c>
      <c r="P63" s="30">
        <v>200.0</v>
      </c>
      <c r="Q63" s="24">
        <f t="shared" si="1"/>
        <v>-0.0185</v>
      </c>
      <c r="R63" s="19" t="s">
        <v>29</v>
      </c>
      <c r="S63" s="25"/>
      <c r="T63" s="26"/>
      <c r="U63" s="25"/>
      <c r="V63" s="27"/>
      <c r="W63" s="25"/>
    </row>
    <row r="64" ht="15.75" customHeight="1">
      <c r="A64" s="16" t="s">
        <v>23</v>
      </c>
      <c r="B64" s="16" t="s">
        <v>24</v>
      </c>
      <c r="C64" s="16" t="s">
        <v>25</v>
      </c>
      <c r="D64" s="17">
        <v>44930.0</v>
      </c>
      <c r="E64" s="18">
        <v>25.0</v>
      </c>
      <c r="F64" s="16" t="s">
        <v>57</v>
      </c>
      <c r="G64" s="19"/>
      <c r="H64" s="20" t="s">
        <v>27</v>
      </c>
      <c r="I64" s="21">
        <v>45127.0</v>
      </c>
      <c r="J64" s="25"/>
      <c r="K64" s="20" t="s">
        <v>88</v>
      </c>
      <c r="L64" s="18"/>
      <c r="M64" s="18">
        <v>55339.46</v>
      </c>
      <c r="N64" s="18">
        <v>201.14</v>
      </c>
      <c r="O64" s="26">
        <f t="shared" si="2"/>
        <v>275.1</v>
      </c>
      <c r="P64" s="23">
        <f>IFERROR(__xludf.DUMMYFUNCTION("IFERROR(IFS(O64="""","""",O64&lt;&gt;"""",FILTER('Нормативные показатели (рабочая'!$G:$G,'Нормативные показатели (рабочая'!$F:$F=$C64,'Нормативные показатели (рабочая'!$B:$B&lt;=$E64,'Нормативные показатели (рабочая'!$C:$C&gt;=$E64,'Нормативные показатели (рабочая'!$"&amp;"E:$E=$K64)),""нет нормы"")"),250.0)</f>
        <v>250</v>
      </c>
      <c r="Q64" s="24">
        <f t="shared" si="1"/>
        <v>0.1004</v>
      </c>
      <c r="R64" s="19" t="s">
        <v>29</v>
      </c>
      <c r="S64" s="25"/>
      <c r="T64" s="26"/>
      <c r="U64" s="18" t="s">
        <v>90</v>
      </c>
      <c r="V64" s="27"/>
      <c r="W64" s="34" t="s">
        <v>91</v>
      </c>
    </row>
    <row r="65" ht="15.75" customHeight="1">
      <c r="A65" s="16" t="s">
        <v>23</v>
      </c>
      <c r="B65" s="16" t="s">
        <v>24</v>
      </c>
      <c r="C65" s="16" t="s">
        <v>25</v>
      </c>
      <c r="D65" s="18">
        <v>5.0</v>
      </c>
      <c r="E65" s="18">
        <v>11.0</v>
      </c>
      <c r="F65" s="16" t="s">
        <v>57</v>
      </c>
      <c r="G65" s="19"/>
      <c r="H65" s="20" t="s">
        <v>27</v>
      </c>
      <c r="I65" s="21">
        <v>45127.0</v>
      </c>
      <c r="J65" s="25"/>
      <c r="K65" s="20" t="s">
        <v>88</v>
      </c>
      <c r="L65" s="18"/>
      <c r="M65" s="18">
        <v>20170.39</v>
      </c>
      <c r="N65" s="18">
        <v>127.71</v>
      </c>
      <c r="O65" s="26">
        <f t="shared" si="2"/>
        <v>157.9</v>
      </c>
      <c r="P65" s="30">
        <v>200.0</v>
      </c>
      <c r="Q65" s="24">
        <f t="shared" si="1"/>
        <v>-0.2105</v>
      </c>
      <c r="R65" s="19" t="s">
        <v>29</v>
      </c>
      <c r="S65" s="25"/>
      <c r="T65" s="26"/>
      <c r="U65" s="25"/>
      <c r="V65" s="27"/>
      <c r="W65" s="25"/>
    </row>
    <row r="66" ht="15.75" customHeight="1">
      <c r="A66" s="16" t="s">
        <v>23</v>
      </c>
      <c r="B66" s="16" t="s">
        <v>24</v>
      </c>
      <c r="C66" s="16" t="s">
        <v>25</v>
      </c>
      <c r="D66" s="17">
        <v>44958.0</v>
      </c>
      <c r="E66" s="18">
        <v>11.0</v>
      </c>
      <c r="F66" s="16" t="s">
        <v>44</v>
      </c>
      <c r="G66" s="19"/>
      <c r="H66" s="20" t="s">
        <v>27</v>
      </c>
      <c r="I66" s="21">
        <v>45127.0</v>
      </c>
      <c r="J66" s="25"/>
      <c r="K66" s="20" t="s">
        <v>45</v>
      </c>
      <c r="L66" s="35"/>
      <c r="M66" s="35">
        <f>1925.29+13799.5+35.86</f>
        <v>15760.65</v>
      </c>
      <c r="N66" s="35">
        <f>13.46+127.14</f>
        <v>140.6</v>
      </c>
      <c r="O66" s="26">
        <f t="shared" si="2"/>
        <v>112.1</v>
      </c>
      <c r="P66" s="23">
        <f>IFERROR(__xludf.DUMMYFUNCTION("IFERROR(IFS(O66="""","""",O66&lt;&gt;"""",FILTER('Нормативные показатели (рабочая'!$G:$G,'Нормативные показатели (рабочая'!$F:$F=$C66,'Нормативные показатели (рабочая'!$B:$B&lt;=$E66,'Нормативные показатели (рабочая'!$C:$C&gt;=$E66,'Нормативные показатели (рабочая'!$"&amp;"E:$E=$K66)),""нет нормы"")"),140.0)</f>
        <v>140</v>
      </c>
      <c r="Q66" s="24">
        <f t="shared" si="1"/>
        <v>-0.1992857143</v>
      </c>
      <c r="R66" s="19" t="s">
        <v>29</v>
      </c>
      <c r="S66" s="25"/>
      <c r="T66" s="26"/>
      <c r="U66" s="25"/>
      <c r="V66" s="27"/>
      <c r="W66" s="25"/>
    </row>
    <row r="67" ht="15.75" customHeight="1">
      <c r="A67" s="16" t="s">
        <v>23</v>
      </c>
      <c r="B67" s="16" t="s">
        <v>24</v>
      </c>
      <c r="C67" s="16" t="s">
        <v>25</v>
      </c>
      <c r="D67" s="18">
        <v>2.0</v>
      </c>
      <c r="E67" s="18">
        <v>18.0</v>
      </c>
      <c r="F67" s="16" t="s">
        <v>44</v>
      </c>
      <c r="G67" s="19"/>
      <c r="H67" s="20" t="s">
        <v>27</v>
      </c>
      <c r="I67" s="21">
        <v>45127.0</v>
      </c>
      <c r="J67" s="25"/>
      <c r="K67" s="20" t="s">
        <v>45</v>
      </c>
      <c r="L67" s="35"/>
      <c r="M67" s="35">
        <f>1519.55+14855.53+30.68</f>
        <v>16405.76</v>
      </c>
      <c r="N67" s="35">
        <f>130.7+14.52</f>
        <v>145.22</v>
      </c>
      <c r="O67" s="26">
        <f t="shared" si="2"/>
        <v>113</v>
      </c>
      <c r="P67" s="23">
        <f>IFERROR(__xludf.DUMMYFUNCTION("IFERROR(IFS(O67="""","""",O67&lt;&gt;"""",FILTER('Нормативные показатели (рабочая'!$G:$G,'Нормативные показатели (рабочая'!$F:$F=$C67,'Нормативные показатели (рабочая'!$B:$B&lt;=$E67,'Нормативные показатели (рабочая'!$C:$C&gt;=$E67,'Нормативные показатели (рабочая'!$"&amp;"E:$E=$K67)),""нет нормы"")"),140.0)</f>
        <v>140</v>
      </c>
      <c r="Q67" s="24">
        <f t="shared" si="1"/>
        <v>-0.1928571429</v>
      </c>
      <c r="R67" s="19" t="s">
        <v>29</v>
      </c>
      <c r="S67" s="25"/>
      <c r="T67" s="26"/>
      <c r="U67" s="25"/>
      <c r="V67" s="27"/>
      <c r="W67" s="25"/>
    </row>
    <row r="68" ht="15.75" customHeight="1">
      <c r="A68" s="16" t="s">
        <v>23</v>
      </c>
      <c r="B68" s="16" t="s">
        <v>24</v>
      </c>
      <c r="C68" s="16" t="s">
        <v>25</v>
      </c>
      <c r="D68" s="17">
        <v>44929.0</v>
      </c>
      <c r="E68" s="18">
        <v>15.0</v>
      </c>
      <c r="F68" s="16" t="s">
        <v>44</v>
      </c>
      <c r="G68" s="16"/>
      <c r="H68" s="20" t="s">
        <v>27</v>
      </c>
      <c r="I68" s="21">
        <v>45127.0</v>
      </c>
      <c r="J68" s="25"/>
      <c r="K68" s="20" t="s">
        <v>45</v>
      </c>
      <c r="L68" s="35"/>
      <c r="M68" s="35">
        <f>904.44+8068.43+49.64+12.83</f>
        <v>9035.34</v>
      </c>
      <c r="N68" s="35">
        <f>6.74+76.5</f>
        <v>83.24</v>
      </c>
      <c r="O68" s="26">
        <f t="shared" si="2"/>
        <v>108.5</v>
      </c>
      <c r="P68" s="23">
        <f>IFERROR(__xludf.DUMMYFUNCTION("IFERROR(IFS(O68="""","""",O68&lt;&gt;"""",FILTER('Нормативные показатели (рабочая'!$G:$G,'Нормативные показатели (рабочая'!$F:$F=$C68,'Нормативные показатели (рабочая'!$B:$B&lt;=$E68,'Нормативные показатели (рабочая'!$C:$C&gt;=$E68,'Нормативные показатели (рабочая'!$"&amp;"E:$E=$K68)),""нет нормы"")"),140.0)</f>
        <v>140</v>
      </c>
      <c r="Q68" s="24">
        <f t="shared" si="1"/>
        <v>-0.225</v>
      </c>
      <c r="R68" s="19" t="s">
        <v>29</v>
      </c>
      <c r="S68" s="25"/>
      <c r="T68" s="26"/>
      <c r="U68" s="25"/>
      <c r="V68" s="27"/>
      <c r="W68" s="25"/>
    </row>
    <row r="69" ht="15.75" customHeight="1">
      <c r="A69" s="16" t="s">
        <v>23</v>
      </c>
      <c r="B69" s="16" t="s">
        <v>24</v>
      </c>
      <c r="C69" s="16" t="s">
        <v>25</v>
      </c>
      <c r="D69" s="17">
        <v>44930.0</v>
      </c>
      <c r="E69" s="18">
        <v>25.0</v>
      </c>
      <c r="F69" s="16" t="s">
        <v>44</v>
      </c>
      <c r="G69" s="16"/>
      <c r="H69" s="20" t="s">
        <v>27</v>
      </c>
      <c r="I69" s="21">
        <v>45127.0</v>
      </c>
      <c r="J69" s="25"/>
      <c r="K69" s="20" t="s">
        <v>45</v>
      </c>
      <c r="L69" s="35"/>
      <c r="M69" s="35">
        <f>962.83+15003.94+51.3</f>
        <v>16018.07</v>
      </c>
      <c r="N69" s="35">
        <f>11.5+119.56</f>
        <v>131.06</v>
      </c>
      <c r="O69" s="26">
        <f t="shared" si="2"/>
        <v>122.2</v>
      </c>
      <c r="P69" s="23">
        <f>IFERROR(__xludf.DUMMYFUNCTION("IFERROR(IFS(O69="""","""",O69&lt;&gt;"""",FILTER('Нормативные показатели (рабочая'!$G:$G,'Нормативные показатели (рабочая'!$F:$F=$C69,'Нормативные показатели (рабочая'!$B:$B&lt;=$E69,'Нормативные показатели (рабочая'!$C:$C&gt;=$E69,'Нормативные показатели (рабочая'!$"&amp;"E:$E=$K69)),""нет нормы"")"),140.0)</f>
        <v>140</v>
      </c>
      <c r="Q69" s="24">
        <f t="shared" si="1"/>
        <v>-0.1271428571</v>
      </c>
      <c r="R69" s="19" t="s">
        <v>29</v>
      </c>
      <c r="S69" s="25"/>
      <c r="T69" s="26"/>
      <c r="U69" s="25"/>
      <c r="V69" s="27"/>
      <c r="W69" s="25"/>
    </row>
    <row r="70" ht="15.75" customHeight="1">
      <c r="A70" s="16" t="s">
        <v>23</v>
      </c>
      <c r="B70" s="16" t="s">
        <v>24</v>
      </c>
      <c r="C70" s="16" t="s">
        <v>25</v>
      </c>
      <c r="D70" s="18">
        <v>5.0</v>
      </c>
      <c r="E70" s="18">
        <v>11.0</v>
      </c>
      <c r="F70" s="16" t="s">
        <v>44</v>
      </c>
      <c r="G70" s="16"/>
      <c r="H70" s="20" t="s">
        <v>27</v>
      </c>
      <c r="I70" s="21">
        <v>45127.0</v>
      </c>
      <c r="J70" s="25"/>
      <c r="K70" s="20" t="s">
        <v>45</v>
      </c>
      <c r="L70" s="35"/>
      <c r="M70" s="35">
        <f>542.52+11028.47+12.83</f>
        <v>11583.82</v>
      </c>
      <c r="N70" s="35">
        <f>5.21+101.34</f>
        <v>106.55</v>
      </c>
      <c r="O70" s="26">
        <f t="shared" si="2"/>
        <v>108.7</v>
      </c>
      <c r="P70" s="23">
        <f>IFERROR(__xludf.DUMMYFUNCTION("IFERROR(IFS(O70="""","""",O70&lt;&gt;"""",FILTER('Нормативные показатели (рабочая'!$G:$G,'Нормативные показатели (рабочая'!$F:$F=$C70,'Нормативные показатели (рабочая'!$B:$B&lt;=$E70,'Нормативные показатели (рабочая'!$C:$C&gt;=$E70,'Нормативные показатели (рабочая'!$"&amp;"E:$E=$K70)),""нет нормы"")"),140.0)</f>
        <v>140</v>
      </c>
      <c r="Q70" s="24">
        <f t="shared" si="1"/>
        <v>-0.2235714286</v>
      </c>
      <c r="R70" s="19" t="s">
        <v>29</v>
      </c>
      <c r="S70" s="25"/>
      <c r="T70" s="26"/>
      <c r="U70" s="25"/>
      <c r="V70" s="27"/>
      <c r="W70" s="25"/>
    </row>
    <row r="71" ht="15.75" customHeight="1">
      <c r="A71" s="16" t="s">
        <v>30</v>
      </c>
      <c r="B71" s="16" t="s">
        <v>34</v>
      </c>
      <c r="C71" s="16" t="s">
        <v>25</v>
      </c>
      <c r="D71" s="17">
        <v>44927.0</v>
      </c>
      <c r="E71" s="18">
        <v>16.0</v>
      </c>
      <c r="F71" s="16" t="s">
        <v>44</v>
      </c>
      <c r="G71" s="16" t="s">
        <v>92</v>
      </c>
      <c r="H71" s="20" t="s">
        <v>27</v>
      </c>
      <c r="I71" s="21">
        <v>45126.0</v>
      </c>
      <c r="J71" s="25"/>
      <c r="K71" s="20" t="s">
        <v>45</v>
      </c>
      <c r="L71" s="18" t="s">
        <v>93</v>
      </c>
      <c r="M71" s="18">
        <v>22075.0</v>
      </c>
      <c r="N71" s="18">
        <v>142.71</v>
      </c>
      <c r="O71" s="26">
        <f t="shared" si="2"/>
        <v>154.7</v>
      </c>
      <c r="P71" s="23">
        <f>IFERROR(__xludf.DUMMYFUNCTION("IFERROR(IFS(O71="""","""",O71&lt;&gt;"""",FILTER('Нормативные показатели (рабочая'!$G:$G,'Нормативные показатели (рабочая'!$F:$F=$C71,'Нормативные показатели (рабочая'!$B:$B&lt;=$E71,'Нормативные показатели (рабочая'!$C:$C&gt;=$E71,'Нормативные показатели (рабочая'!$"&amp;"E:$E=$K71)),""нет нормы"")"),140.0)</f>
        <v>140</v>
      </c>
      <c r="Q71" s="24">
        <f t="shared" si="1"/>
        <v>0.105</v>
      </c>
      <c r="R71" s="19" t="s">
        <v>29</v>
      </c>
      <c r="S71" s="25"/>
      <c r="T71" s="26"/>
      <c r="U71" s="18" t="s">
        <v>94</v>
      </c>
      <c r="V71" s="27"/>
      <c r="W71" s="36" t="s">
        <v>95</v>
      </c>
    </row>
    <row r="72" ht="15.75" customHeight="1">
      <c r="A72" s="16" t="s">
        <v>30</v>
      </c>
      <c r="B72" s="16" t="s">
        <v>34</v>
      </c>
      <c r="C72" s="16" t="s">
        <v>25</v>
      </c>
      <c r="D72" s="17">
        <v>44958.0</v>
      </c>
      <c r="E72" s="18">
        <v>1.0</v>
      </c>
      <c r="F72" s="16" t="s">
        <v>44</v>
      </c>
      <c r="G72" s="16" t="s">
        <v>92</v>
      </c>
      <c r="H72" s="20" t="s">
        <v>27</v>
      </c>
      <c r="I72" s="21">
        <v>45126.0</v>
      </c>
      <c r="J72" s="21">
        <v>45138.0</v>
      </c>
      <c r="K72" s="20" t="s">
        <v>45</v>
      </c>
      <c r="L72" s="18" t="s">
        <v>93</v>
      </c>
      <c r="M72" s="18">
        <v>6846.8</v>
      </c>
      <c r="N72" s="18">
        <v>75.31</v>
      </c>
      <c r="O72" s="26">
        <f t="shared" si="2"/>
        <v>90.9</v>
      </c>
      <c r="P72" s="23">
        <f>IFERROR(__xludf.DUMMYFUNCTION("IFERROR(IFS(O72="""","""",O72&lt;&gt;"""",FILTER('Нормативные показатели (рабочая'!$G:$G,'Нормативные показатели (рабочая'!$F:$F=$C72,'Нормативные показатели (рабочая'!$B:$B&lt;=$E72,'Нормативные показатели (рабочая'!$C:$C&gt;=$E72,'Нормативные показатели (рабочая'!$"&amp;"E:$E=$K72)),""нет нормы"")"),140.0)</f>
        <v>140</v>
      </c>
      <c r="Q72" s="24">
        <f t="shared" si="1"/>
        <v>-0.3507142857</v>
      </c>
      <c r="R72" s="19" t="s">
        <v>29</v>
      </c>
      <c r="S72" s="25"/>
      <c r="T72" s="26"/>
      <c r="U72" s="18" t="s">
        <v>96</v>
      </c>
      <c r="V72" s="27"/>
      <c r="W72" s="25"/>
    </row>
    <row r="73" ht="15.75" customHeight="1">
      <c r="A73" s="16" t="s">
        <v>30</v>
      </c>
      <c r="B73" s="16" t="s">
        <v>34</v>
      </c>
      <c r="C73" s="16" t="s">
        <v>25</v>
      </c>
      <c r="D73" s="18">
        <v>2.0</v>
      </c>
      <c r="E73" s="18">
        <v>13.0</v>
      </c>
      <c r="F73" s="16" t="s">
        <v>44</v>
      </c>
      <c r="G73" s="16" t="s">
        <v>92</v>
      </c>
      <c r="H73" s="20" t="s">
        <v>27</v>
      </c>
      <c r="I73" s="21">
        <v>45126.0</v>
      </c>
      <c r="J73" s="21">
        <v>45138.0</v>
      </c>
      <c r="K73" s="20" t="s">
        <v>45</v>
      </c>
      <c r="L73" s="18" t="s">
        <v>93</v>
      </c>
      <c r="M73" s="18">
        <v>14883.11</v>
      </c>
      <c r="N73" s="18">
        <v>136.55</v>
      </c>
      <c r="O73" s="26">
        <f t="shared" si="2"/>
        <v>109</v>
      </c>
      <c r="P73" s="23">
        <f>IFERROR(__xludf.DUMMYFUNCTION("IFERROR(IFS(O73="""","""",O73&lt;&gt;"""",FILTER('Нормативные показатели (рабочая'!$G:$G,'Нормативные показатели (рабочая'!$F:$F=$C73,'Нормативные показатели (рабочая'!$B:$B&lt;=$E73,'Нормативные показатели (рабочая'!$C:$C&gt;=$E73,'Нормативные показатели (рабочая'!$"&amp;"E:$E=$K73)),""нет нормы"")"),140.0)</f>
        <v>140</v>
      </c>
      <c r="Q73" s="24">
        <f t="shared" si="1"/>
        <v>-0.2214285714</v>
      </c>
      <c r="R73" s="19" t="s">
        <v>29</v>
      </c>
      <c r="S73" s="25"/>
      <c r="T73" s="26"/>
      <c r="U73" s="25"/>
      <c r="V73" s="27"/>
      <c r="W73" s="25"/>
    </row>
    <row r="74" ht="15.75" customHeight="1">
      <c r="A74" s="16" t="s">
        <v>30</v>
      </c>
      <c r="B74" s="16" t="s">
        <v>34</v>
      </c>
      <c r="C74" s="16" t="s">
        <v>25</v>
      </c>
      <c r="D74" s="18">
        <v>3.0</v>
      </c>
      <c r="E74" s="18">
        <v>8.0</v>
      </c>
      <c r="F74" s="16" t="s">
        <v>44</v>
      </c>
      <c r="G74" s="16" t="s">
        <v>92</v>
      </c>
      <c r="H74" s="20" t="s">
        <v>27</v>
      </c>
      <c r="I74" s="21">
        <v>45126.0</v>
      </c>
      <c r="J74" s="21">
        <v>45138.0</v>
      </c>
      <c r="K74" s="20" t="s">
        <v>45</v>
      </c>
      <c r="L74" s="18" t="s">
        <v>93</v>
      </c>
      <c r="M74" s="18">
        <v>13547.35</v>
      </c>
      <c r="N74" s="18">
        <v>118.69</v>
      </c>
      <c r="O74" s="26">
        <f t="shared" si="2"/>
        <v>114.1</v>
      </c>
      <c r="P74" s="23">
        <f>IFERROR(__xludf.DUMMYFUNCTION("IFERROR(IFS(O74="""","""",O74&lt;&gt;"""",FILTER('Нормативные показатели (рабочая'!$G:$G,'Нормативные показатели (рабочая'!$F:$F=$C74,'Нормативные показатели (рабочая'!$B:$B&lt;=$E74,'Нормативные показатели (рабочая'!$C:$C&gt;=$E74,'Нормативные показатели (рабочая'!$"&amp;"E:$E=$K74)),""нет нормы"")"),140.0)</f>
        <v>140</v>
      </c>
      <c r="Q74" s="24">
        <f t="shared" si="1"/>
        <v>-0.185</v>
      </c>
      <c r="R74" s="19" t="s">
        <v>29</v>
      </c>
      <c r="S74" s="25"/>
      <c r="T74" s="26"/>
      <c r="U74" s="25"/>
      <c r="V74" s="27"/>
      <c r="W74" s="25"/>
    </row>
    <row r="75" ht="15.75" customHeight="1">
      <c r="A75" s="16" t="s">
        <v>30</v>
      </c>
      <c r="B75" s="16" t="s">
        <v>31</v>
      </c>
      <c r="C75" s="16" t="s">
        <v>25</v>
      </c>
      <c r="D75" s="18">
        <v>2.0</v>
      </c>
      <c r="E75" s="18">
        <v>14.0</v>
      </c>
      <c r="F75" s="16" t="s">
        <v>61</v>
      </c>
      <c r="G75" s="16" t="s">
        <v>97</v>
      </c>
      <c r="H75" s="20" t="s">
        <v>27</v>
      </c>
      <c r="I75" s="21">
        <v>45128.0</v>
      </c>
      <c r="J75" s="25"/>
      <c r="K75" s="20" t="s">
        <v>37</v>
      </c>
      <c r="L75" s="18"/>
      <c r="M75" s="18">
        <v>9968.66</v>
      </c>
      <c r="N75" s="18">
        <v>82.48</v>
      </c>
      <c r="O75" s="26">
        <f t="shared" si="2"/>
        <v>120.9</v>
      </c>
      <c r="P75" s="23">
        <f>IFERROR(__xludf.DUMMYFUNCTION("IFERROR(IFS(O75="""","""",O75&lt;&gt;"""",FILTER('Нормативные показатели (рабочая'!$G:$G,'Нормативные показатели (рабочая'!$F:$F=$C75,'Нормативные показатели (рабочая'!$B:$B&lt;=$E75,'Нормативные показатели (рабочая'!$C:$C&gt;=$E75,'Нормативные показатели (рабочая'!$"&amp;"E:$E=$K75)),""нет нормы"")"),125.0)</f>
        <v>125</v>
      </c>
      <c r="Q75" s="24">
        <f t="shared" si="1"/>
        <v>-0.0328</v>
      </c>
      <c r="R75" s="19" t="s">
        <v>29</v>
      </c>
      <c r="S75" s="25"/>
      <c r="T75" s="26"/>
      <c r="U75" s="25"/>
      <c r="V75" s="27"/>
      <c r="W75" s="25"/>
    </row>
    <row r="76" ht="15.75" customHeight="1">
      <c r="A76" s="16" t="s">
        <v>30</v>
      </c>
      <c r="B76" s="16" t="s">
        <v>31</v>
      </c>
      <c r="C76" s="16" t="s">
        <v>25</v>
      </c>
      <c r="D76" s="18">
        <v>3.0</v>
      </c>
      <c r="E76" s="18">
        <v>13.0</v>
      </c>
      <c r="F76" s="16" t="s">
        <v>61</v>
      </c>
      <c r="G76" s="16" t="s">
        <v>98</v>
      </c>
      <c r="H76" s="20" t="s">
        <v>27</v>
      </c>
      <c r="I76" s="21">
        <v>45128.0</v>
      </c>
      <c r="J76" s="25"/>
      <c r="K76" s="20" t="s">
        <v>37</v>
      </c>
      <c r="L76" s="18"/>
      <c r="M76" s="18">
        <v>8172.95</v>
      </c>
      <c r="N76" s="18">
        <v>68.69</v>
      </c>
      <c r="O76" s="26">
        <f t="shared" si="2"/>
        <v>119</v>
      </c>
      <c r="P76" s="23">
        <f>IFERROR(__xludf.DUMMYFUNCTION("IFERROR(IFS(O76="""","""",O76&lt;&gt;"""",FILTER('Нормативные показатели (рабочая'!$G:$G,'Нормативные показатели (рабочая'!$F:$F=$C76,'Нормативные показатели (рабочая'!$B:$B&lt;=$E76,'Нормативные показатели (рабочая'!$C:$C&gt;=$E76,'Нормативные показатели (рабочая'!$"&amp;"E:$E=$K76)),""нет нормы"")"),125.0)</f>
        <v>125</v>
      </c>
      <c r="Q76" s="24">
        <f t="shared" si="1"/>
        <v>-0.048</v>
      </c>
      <c r="R76" s="19" t="s">
        <v>29</v>
      </c>
      <c r="S76" s="25"/>
      <c r="T76" s="26"/>
      <c r="U76" s="25"/>
      <c r="V76" s="27"/>
      <c r="W76" s="25"/>
    </row>
    <row r="77" ht="15.75" customHeight="1">
      <c r="A77" s="16" t="s">
        <v>30</v>
      </c>
      <c r="B77" s="16" t="s">
        <v>31</v>
      </c>
      <c r="C77" s="16" t="s">
        <v>25</v>
      </c>
      <c r="D77" s="18">
        <v>1.0</v>
      </c>
      <c r="E77" s="18">
        <v>16.0</v>
      </c>
      <c r="F77" s="16" t="s">
        <v>63</v>
      </c>
      <c r="G77" s="16" t="s">
        <v>99</v>
      </c>
      <c r="H77" s="20" t="s">
        <v>27</v>
      </c>
      <c r="I77" s="21">
        <v>45128.0</v>
      </c>
      <c r="J77" s="25"/>
      <c r="K77" s="20" t="s">
        <v>50</v>
      </c>
      <c r="L77" s="18"/>
      <c r="M77" s="18">
        <v>63667.06</v>
      </c>
      <c r="N77" s="35">
        <f>143.11+134.66+134.59+133.66+17.95</f>
        <v>563.97</v>
      </c>
      <c r="O77" s="26">
        <f t="shared" si="2"/>
        <v>112.9</v>
      </c>
      <c r="P77" s="23">
        <f>IFERROR(__xludf.DUMMYFUNCTION("IFERROR(IFS(O77="""","""",O77&lt;&gt;"""",FILTER('Нормативные показатели (рабочая'!$G:$G,'Нормативные показатели (рабочая'!$F:$F=$C77,'Нормативные показатели (рабочая'!$B:$B&lt;=$E77,'Нормативные показатели (рабочая'!$C:$C&gt;=$E77,'Нормативные показатели (рабочая'!$"&amp;"E:$E=$K77)),""нет нормы"")"),115.0)</f>
        <v>115</v>
      </c>
      <c r="Q77" s="24">
        <f t="shared" si="1"/>
        <v>-0.01826086957</v>
      </c>
      <c r="R77" s="19" t="s">
        <v>29</v>
      </c>
      <c r="S77" s="25"/>
      <c r="T77" s="26"/>
      <c r="U77" s="25"/>
      <c r="V77" s="27"/>
      <c r="W77" s="25"/>
    </row>
    <row r="78" ht="15.75" customHeight="1">
      <c r="A78" s="16" t="s">
        <v>30</v>
      </c>
      <c r="B78" s="16" t="s">
        <v>31</v>
      </c>
      <c r="C78" s="16" t="s">
        <v>25</v>
      </c>
      <c r="D78" s="18">
        <v>2.0</v>
      </c>
      <c r="E78" s="18">
        <v>14.0</v>
      </c>
      <c r="F78" s="16" t="s">
        <v>63</v>
      </c>
      <c r="G78" s="16" t="s">
        <v>100</v>
      </c>
      <c r="H78" s="20" t="s">
        <v>27</v>
      </c>
      <c r="I78" s="21">
        <v>45128.0</v>
      </c>
      <c r="J78" s="25"/>
      <c r="K78" s="20" t="s">
        <v>50</v>
      </c>
      <c r="L78" s="18"/>
      <c r="M78" s="18">
        <v>55317.45</v>
      </c>
      <c r="N78" s="18">
        <v>502.77</v>
      </c>
      <c r="O78" s="26">
        <f t="shared" si="2"/>
        <v>110</v>
      </c>
      <c r="P78" s="23">
        <f>IFERROR(__xludf.DUMMYFUNCTION("IFERROR(IFS(O78="""","""",O78&lt;&gt;"""",FILTER('Нормативные показатели (рабочая'!$G:$G,'Нормативные показатели (рабочая'!$F:$F=$C78,'Нормативные показатели (рабочая'!$B:$B&lt;=$E78,'Нормативные показатели (рабочая'!$C:$C&gt;=$E78,'Нормативные показатели (рабочая'!$"&amp;"E:$E=$K78)),""нет нормы"")"),115.0)</f>
        <v>115</v>
      </c>
      <c r="Q78" s="24">
        <f t="shared" si="1"/>
        <v>-0.04347826087</v>
      </c>
      <c r="R78" s="19" t="s">
        <v>29</v>
      </c>
      <c r="S78" s="25"/>
      <c r="T78" s="26"/>
      <c r="U78" s="25"/>
      <c r="V78" s="27"/>
      <c r="W78" s="25"/>
    </row>
    <row r="79" ht="15.75" customHeight="1">
      <c r="A79" s="16" t="s">
        <v>30</v>
      </c>
      <c r="B79" s="16" t="s">
        <v>31</v>
      </c>
      <c r="C79" s="16" t="s">
        <v>25</v>
      </c>
      <c r="D79" s="18">
        <v>3.0</v>
      </c>
      <c r="E79" s="18">
        <v>13.0</v>
      </c>
      <c r="F79" s="16" t="s">
        <v>63</v>
      </c>
      <c r="G79" s="16" t="s">
        <v>101</v>
      </c>
      <c r="H79" s="20" t="s">
        <v>27</v>
      </c>
      <c r="I79" s="21">
        <v>45128.0</v>
      </c>
      <c r="J79" s="25"/>
      <c r="K79" s="20" t="s">
        <v>50</v>
      </c>
      <c r="L79" s="18"/>
      <c r="M79" s="18">
        <v>25296.11</v>
      </c>
      <c r="N79" s="18">
        <v>224.88</v>
      </c>
      <c r="O79" s="26">
        <f t="shared" si="2"/>
        <v>112.5</v>
      </c>
      <c r="P79" s="23">
        <f>IFERROR(__xludf.DUMMYFUNCTION("IFERROR(IFS(O79="""","""",O79&lt;&gt;"""",FILTER('Нормативные показатели (рабочая'!$G:$G,'Нормативные показатели (рабочая'!$F:$F=$C79,'Нормативные показатели (рабочая'!$B:$B&lt;=$E79,'Нормативные показатели (рабочая'!$C:$C&gt;=$E79,'Нормативные показатели (рабочая'!$"&amp;"E:$E=$K79)),""нет нормы"")"),115.0)</f>
        <v>115</v>
      </c>
      <c r="Q79" s="24">
        <f t="shared" si="1"/>
        <v>-0.02173913043</v>
      </c>
      <c r="R79" s="19" t="s">
        <v>29</v>
      </c>
      <c r="S79" s="25"/>
      <c r="T79" s="26"/>
      <c r="U79" s="25"/>
      <c r="V79" s="27"/>
      <c r="W79" s="25"/>
    </row>
    <row r="80" ht="15.75" customHeight="1">
      <c r="A80" s="16" t="s">
        <v>23</v>
      </c>
      <c r="B80" s="16" t="s">
        <v>46</v>
      </c>
      <c r="C80" s="16" t="s">
        <v>25</v>
      </c>
      <c r="D80" s="17">
        <v>44927.0</v>
      </c>
      <c r="E80" s="18">
        <v>18.0</v>
      </c>
      <c r="F80" s="16" t="s">
        <v>61</v>
      </c>
      <c r="G80" s="16" t="s">
        <v>102</v>
      </c>
      <c r="H80" s="20" t="s">
        <v>27</v>
      </c>
      <c r="I80" s="21">
        <v>45131.0</v>
      </c>
      <c r="J80" s="25"/>
      <c r="K80" s="20" t="s">
        <v>37</v>
      </c>
      <c r="L80" s="18"/>
      <c r="M80" s="18">
        <v>8066.68</v>
      </c>
      <c r="N80" s="18">
        <v>64.1</v>
      </c>
      <c r="O80" s="26">
        <f t="shared" si="2"/>
        <v>125.8</v>
      </c>
      <c r="P80" s="23">
        <f>IFERROR(__xludf.DUMMYFUNCTION("IFERROR(IFS(O80="""","""",O80&lt;&gt;"""",FILTER('Нормативные показатели (рабочая'!$G:$G,'Нормативные показатели (рабочая'!$F:$F=$C80,'Нормативные показатели (рабочая'!$B:$B&lt;=$E80,'Нормативные показатели (рабочая'!$C:$C&gt;=$E80,'Нормативные показатели (рабочая'!$"&amp;"E:$E=$K80)),""нет нормы"")"),125.0)</f>
        <v>125</v>
      </c>
      <c r="Q80" s="24">
        <f t="shared" si="1"/>
        <v>0.0064</v>
      </c>
      <c r="R80" s="19" t="s">
        <v>29</v>
      </c>
      <c r="S80" s="25"/>
      <c r="T80" s="26"/>
      <c r="U80" s="25"/>
      <c r="V80" s="27"/>
      <c r="W80" s="25"/>
    </row>
    <row r="81" ht="15.75" customHeight="1">
      <c r="A81" s="16" t="s">
        <v>35</v>
      </c>
      <c r="B81" s="16" t="s">
        <v>42</v>
      </c>
      <c r="C81" s="16" t="s">
        <v>25</v>
      </c>
      <c r="D81" s="18">
        <v>1.0</v>
      </c>
      <c r="E81" s="18">
        <v>13.0</v>
      </c>
      <c r="F81" s="16" t="s">
        <v>57</v>
      </c>
      <c r="G81" s="16" t="s">
        <v>103</v>
      </c>
      <c r="H81" s="20" t="s">
        <v>27</v>
      </c>
      <c r="I81" s="21">
        <v>45104.0</v>
      </c>
      <c r="J81" s="25"/>
      <c r="K81" s="20" t="s">
        <v>104</v>
      </c>
      <c r="L81" s="18"/>
      <c r="M81" s="18">
        <v>14781.26</v>
      </c>
      <c r="N81" s="18">
        <v>87.68</v>
      </c>
      <c r="O81" s="26">
        <f t="shared" si="2"/>
        <v>168.6</v>
      </c>
      <c r="P81" s="23">
        <f>IFERROR(__xludf.DUMMYFUNCTION("IFERROR(IFS(O81="""","""",O81&lt;&gt;"""",FILTER('Нормативные показатели (рабочая'!$G:$G,'Нормативные показатели (рабочая'!$F:$F=$C81,'Нормативные показатели (рабочая'!$B:$B&lt;=$E81,'Нормативные показатели (рабочая'!$C:$C&gt;=$E81,'Нормативные показатели (рабочая'!$"&amp;"E:$E=$K81)),""нет нормы"")"),200.0)</f>
        <v>200</v>
      </c>
      <c r="Q81" s="24">
        <f t="shared" si="1"/>
        <v>-0.157</v>
      </c>
      <c r="R81" s="19" t="s">
        <v>29</v>
      </c>
      <c r="S81" s="22">
        <f t="shared" ref="S81:S97" si="3">O81</f>
        <v>168.6</v>
      </c>
      <c r="T81" s="26"/>
      <c r="U81" s="18" t="s">
        <v>105</v>
      </c>
      <c r="V81" s="27"/>
      <c r="W81" s="25"/>
    </row>
    <row r="82" ht="15.75" customHeight="1">
      <c r="A82" s="16" t="s">
        <v>35</v>
      </c>
      <c r="B82" s="16" t="s">
        <v>36</v>
      </c>
      <c r="C82" s="16" t="s">
        <v>25</v>
      </c>
      <c r="D82" s="18">
        <v>4.0</v>
      </c>
      <c r="E82" s="18">
        <v>19.0</v>
      </c>
      <c r="F82" s="16" t="s">
        <v>49</v>
      </c>
      <c r="G82" s="16" t="s">
        <v>106</v>
      </c>
      <c r="H82" s="20" t="s">
        <v>27</v>
      </c>
      <c r="I82" s="21">
        <v>45133.0</v>
      </c>
      <c r="J82" s="21">
        <v>45133.0</v>
      </c>
      <c r="K82" s="20" t="s">
        <v>50</v>
      </c>
      <c r="L82" s="18">
        <v>9.0</v>
      </c>
      <c r="M82" s="35">
        <f>2604.3+19808.3</f>
        <v>22412.6</v>
      </c>
      <c r="N82" s="35">
        <f>8+173.4+24.8</f>
        <v>206.2</v>
      </c>
      <c r="O82" s="26">
        <f t="shared" si="2"/>
        <v>108.7</v>
      </c>
      <c r="P82" s="23">
        <f>IFERROR(__xludf.DUMMYFUNCTION("IFERROR(IFS(O82="""","""",O82&lt;&gt;"""",FILTER('Нормативные показатели (рабочая'!$G:$G,'Нормативные показатели (рабочая'!$F:$F=$C82,'Нормативные показатели (рабочая'!$B:$B&lt;=$E82,'Нормативные показатели (рабочая'!$C:$C&gt;=$E82,'Нормативные показатели (рабочая'!$"&amp;"E:$E=$K82)),""нет нормы"")"),115.0)</f>
        <v>115</v>
      </c>
      <c r="Q82" s="24">
        <f t="shared" si="1"/>
        <v>-0.0547826087</v>
      </c>
      <c r="R82" s="19" t="s">
        <v>29</v>
      </c>
      <c r="S82" s="22">
        <f t="shared" si="3"/>
        <v>108.7</v>
      </c>
      <c r="T82" s="26">
        <f t="shared" ref="T82:T109" si="4">S82-O82</f>
        <v>0</v>
      </c>
      <c r="U82" s="25"/>
      <c r="V82" s="27">
        <f t="shared" ref="V82:V97" si="5">T82*N82*55</f>
        <v>0</v>
      </c>
      <c r="W82" s="25"/>
    </row>
    <row r="83" ht="15.75" customHeight="1">
      <c r="A83" s="16" t="s">
        <v>35</v>
      </c>
      <c r="B83" s="16" t="s">
        <v>42</v>
      </c>
      <c r="C83" s="16" t="s">
        <v>25</v>
      </c>
      <c r="D83" s="18">
        <v>2.0</v>
      </c>
      <c r="E83" s="18">
        <v>15.0</v>
      </c>
      <c r="F83" s="16" t="s">
        <v>57</v>
      </c>
      <c r="G83" s="16" t="s">
        <v>107</v>
      </c>
      <c r="H83" s="20" t="s">
        <v>27</v>
      </c>
      <c r="I83" s="21">
        <v>45133.0</v>
      </c>
      <c r="J83" s="25"/>
      <c r="K83" s="20" t="s">
        <v>104</v>
      </c>
      <c r="L83" s="18" t="s">
        <v>93</v>
      </c>
      <c r="M83" s="18">
        <v>21933.18</v>
      </c>
      <c r="N83" s="18">
        <v>95.82</v>
      </c>
      <c r="O83" s="26">
        <f t="shared" si="2"/>
        <v>228.9</v>
      </c>
      <c r="P83" s="23">
        <f>IFERROR(__xludf.DUMMYFUNCTION("IFERROR(IFS(O83="""","""",O83&lt;&gt;"""",FILTER('Нормативные показатели (рабочая'!$G:$G,'Нормативные показатели (рабочая'!$F:$F=$C83,'Нормативные показатели (рабочая'!$B:$B&lt;=$E83,'Нормативные показатели (рабочая'!$C:$C&gt;=$E83,'Нормативные показатели (рабочая'!$"&amp;"E:$E=$K83)),""нет нормы"")"),200.0)</f>
        <v>200</v>
      </c>
      <c r="Q83" s="24">
        <f t="shared" si="1"/>
        <v>0.1445</v>
      </c>
      <c r="R83" s="19" t="s">
        <v>67</v>
      </c>
      <c r="S83" s="22">
        <f t="shared" si="3"/>
        <v>228.9</v>
      </c>
      <c r="T83" s="26">
        <f t="shared" si="4"/>
        <v>0</v>
      </c>
      <c r="U83" s="25"/>
      <c r="V83" s="27">
        <f t="shared" si="5"/>
        <v>0</v>
      </c>
      <c r="W83" s="25"/>
    </row>
    <row r="84" ht="15.75" customHeight="1">
      <c r="A84" s="16" t="s">
        <v>35</v>
      </c>
      <c r="B84" s="16" t="s">
        <v>42</v>
      </c>
      <c r="C84" s="16" t="s">
        <v>25</v>
      </c>
      <c r="D84" s="18">
        <v>3.0</v>
      </c>
      <c r="E84" s="18">
        <v>14.0</v>
      </c>
      <c r="F84" s="16" t="s">
        <v>57</v>
      </c>
      <c r="G84" s="16" t="s">
        <v>108</v>
      </c>
      <c r="H84" s="20" t="s">
        <v>27</v>
      </c>
      <c r="I84" s="21">
        <v>45133.0</v>
      </c>
      <c r="J84" s="21">
        <v>45133.0</v>
      </c>
      <c r="K84" s="20" t="s">
        <v>104</v>
      </c>
      <c r="L84" s="18" t="s">
        <v>93</v>
      </c>
      <c r="M84" s="18">
        <v>17336.62</v>
      </c>
      <c r="N84" s="18">
        <v>91.29</v>
      </c>
      <c r="O84" s="26">
        <f t="shared" si="2"/>
        <v>189.9</v>
      </c>
      <c r="P84" s="23">
        <f>IFERROR(__xludf.DUMMYFUNCTION("IFERROR(IFS(O84="""","""",O84&lt;&gt;"""",FILTER('Нормативные показатели (рабочая'!$G:$G,'Нормативные показатели (рабочая'!$F:$F=$C84,'Нормативные показатели (рабочая'!$B:$B&lt;=$E84,'Нормативные показатели (рабочая'!$C:$C&gt;=$E84,'Нормативные показатели (рабочая'!$"&amp;"E:$E=$K84)),""нет нормы"")"),200.0)</f>
        <v>200</v>
      </c>
      <c r="Q84" s="24">
        <f t="shared" si="1"/>
        <v>-0.0505</v>
      </c>
      <c r="R84" s="19" t="s">
        <v>29</v>
      </c>
      <c r="S84" s="22">
        <f t="shared" si="3"/>
        <v>189.9</v>
      </c>
      <c r="T84" s="26">
        <f t="shared" si="4"/>
        <v>0</v>
      </c>
      <c r="U84" s="25"/>
      <c r="V84" s="27">
        <f t="shared" si="5"/>
        <v>0</v>
      </c>
      <c r="W84" s="25"/>
    </row>
    <row r="85" ht="15.75" customHeight="1">
      <c r="A85" s="16" t="s">
        <v>23</v>
      </c>
      <c r="B85" s="16" t="s">
        <v>46</v>
      </c>
      <c r="C85" s="16" t="s">
        <v>25</v>
      </c>
      <c r="D85" s="17">
        <v>44927.0</v>
      </c>
      <c r="E85" s="18">
        <v>18.0</v>
      </c>
      <c r="F85" s="16" t="s">
        <v>63</v>
      </c>
      <c r="G85" s="16" t="s">
        <v>109</v>
      </c>
      <c r="H85" s="20" t="s">
        <v>27</v>
      </c>
      <c r="I85" s="21">
        <v>45134.0</v>
      </c>
      <c r="J85" s="21">
        <v>45135.0</v>
      </c>
      <c r="K85" s="20" t="s">
        <v>50</v>
      </c>
      <c r="L85" s="18" t="s">
        <v>110</v>
      </c>
      <c r="M85" s="18">
        <v>12703.4</v>
      </c>
      <c r="N85" s="18">
        <v>127.96</v>
      </c>
      <c r="O85" s="26">
        <f t="shared" si="2"/>
        <v>99.3</v>
      </c>
      <c r="P85" s="23">
        <f>IFERROR(__xludf.DUMMYFUNCTION("IFERROR(IFS(O85="""","""",O85&lt;&gt;"""",FILTER('Нормативные показатели (рабочая'!$G:$G,'Нормативные показатели (рабочая'!$F:$F=$C85,'Нормативные показатели (рабочая'!$B:$B&lt;=$E85,'Нормативные показатели (рабочая'!$C:$C&gt;=$E85,'Нормативные показатели (рабочая'!$"&amp;"E:$E=$K85)),""нет нормы"")"),115.0)</f>
        <v>115</v>
      </c>
      <c r="Q85" s="24">
        <f t="shared" si="1"/>
        <v>-0.1365217391</v>
      </c>
      <c r="R85" s="19" t="s">
        <v>29</v>
      </c>
      <c r="S85" s="22">
        <f t="shared" si="3"/>
        <v>99.3</v>
      </c>
      <c r="T85" s="26">
        <f t="shared" si="4"/>
        <v>0</v>
      </c>
      <c r="U85" s="25"/>
      <c r="V85" s="27">
        <f t="shared" si="5"/>
        <v>0</v>
      </c>
      <c r="W85" s="25"/>
    </row>
    <row r="86" ht="15.75" customHeight="1">
      <c r="A86" s="16" t="s">
        <v>35</v>
      </c>
      <c r="B86" s="16" t="s">
        <v>36</v>
      </c>
      <c r="C86" s="16" t="s">
        <v>25</v>
      </c>
      <c r="D86" s="18">
        <v>1.2</v>
      </c>
      <c r="E86" s="18">
        <v>30.0</v>
      </c>
      <c r="F86" s="16" t="s">
        <v>49</v>
      </c>
      <c r="G86" s="20" t="s">
        <v>111</v>
      </c>
      <c r="H86" s="20">
        <v>1.0</v>
      </c>
      <c r="I86" s="37">
        <v>45138.0</v>
      </c>
      <c r="J86" s="21">
        <v>45138.0</v>
      </c>
      <c r="K86" s="20" t="s">
        <v>50</v>
      </c>
      <c r="L86" s="18">
        <v>8.0</v>
      </c>
      <c r="M86" s="35">
        <f>1482.2+21249.3</f>
        <v>22731.5</v>
      </c>
      <c r="N86" s="35">
        <f>181.4+5.8</f>
        <v>187.2</v>
      </c>
      <c r="O86" s="26">
        <f t="shared" si="2"/>
        <v>121.4</v>
      </c>
      <c r="P86" s="23" t="str">
        <f>IFERROR(__xludf.DUMMYFUNCTION("IFERROR(IFS(O86="""","""",O86&lt;&gt;"""",FILTER('Нормативные показатели (рабочая'!$G:$G,'Нормативные показатели (рабочая'!$F:$F=$C86,'Нормативные показатели (рабочая'!$B:$B&lt;=$E86,'Нормативные показатели (рабочая'!$C:$C&gt;=$E86,'Нормативные показатели (рабочая'!$"&amp;"E:$E=$K86)),""нет нормы"")"),"нет нормы")</f>
        <v>нет нормы</v>
      </c>
      <c r="Q86" s="24" t="str">
        <f t="shared" si="1"/>
        <v>нет</v>
      </c>
      <c r="R86" s="19" t="s">
        <v>38</v>
      </c>
      <c r="S86" s="22">
        <f t="shared" si="3"/>
        <v>121.4</v>
      </c>
      <c r="T86" s="26">
        <f t="shared" si="4"/>
        <v>0</v>
      </c>
      <c r="U86" s="25"/>
      <c r="V86" s="27">
        <f t="shared" si="5"/>
        <v>0</v>
      </c>
      <c r="W86" s="25"/>
    </row>
    <row r="87" ht="15.75" customHeight="1">
      <c r="A87" s="16" t="s">
        <v>35</v>
      </c>
      <c r="B87" s="16" t="s">
        <v>36</v>
      </c>
      <c r="C87" s="16" t="s">
        <v>25</v>
      </c>
      <c r="D87" s="18">
        <v>6.7</v>
      </c>
      <c r="E87" s="18">
        <v>30.0</v>
      </c>
      <c r="F87" s="16" t="s">
        <v>57</v>
      </c>
      <c r="G87" s="20" t="s">
        <v>112</v>
      </c>
      <c r="H87" s="20" t="s">
        <v>27</v>
      </c>
      <c r="I87" s="37">
        <v>45138.0</v>
      </c>
      <c r="J87" s="21">
        <v>45138.0</v>
      </c>
      <c r="K87" s="20" t="s">
        <v>58</v>
      </c>
      <c r="L87" s="18" t="s">
        <v>93</v>
      </c>
      <c r="M87" s="35">
        <f>6693.3+1819+23104.7+58500.5</f>
        <v>90117.5</v>
      </c>
      <c r="N87" s="35">
        <f>29.5+85.1+258.5+36.5</f>
        <v>409.6</v>
      </c>
      <c r="O87" s="26">
        <f t="shared" si="2"/>
        <v>220</v>
      </c>
      <c r="P87" s="23" t="str">
        <f>IFERROR(__xludf.DUMMYFUNCTION("IFERROR(IFS(O87="""","""",O87&lt;&gt;"""",FILTER('Нормативные показатели (рабочая'!$G:$G,'Нормативные показатели (рабочая'!$F:$F=$C87,'Нормативные показатели (рабочая'!$B:$B&lt;=$E87,'Нормативные показатели (рабочая'!$C:$C&gt;=$E87,'Нормативные показатели (рабочая'!$"&amp;"E:$E=$K87)),""нет нормы"")"),"нет нормы")</f>
        <v>нет нормы</v>
      </c>
      <c r="Q87" s="24" t="str">
        <f t="shared" si="1"/>
        <v>нет</v>
      </c>
      <c r="R87" s="19" t="s">
        <v>38</v>
      </c>
      <c r="S87" s="22">
        <f t="shared" si="3"/>
        <v>220</v>
      </c>
      <c r="T87" s="26">
        <f t="shared" si="4"/>
        <v>0</v>
      </c>
      <c r="U87" s="18" t="s">
        <v>113</v>
      </c>
      <c r="V87" s="27">
        <f t="shared" si="5"/>
        <v>0</v>
      </c>
      <c r="W87" s="25"/>
    </row>
    <row r="88" ht="15.75" customHeight="1">
      <c r="A88" s="16" t="s">
        <v>30</v>
      </c>
      <c r="B88" s="16" t="s">
        <v>34</v>
      </c>
      <c r="C88" s="16" t="s">
        <v>25</v>
      </c>
      <c r="D88" s="17">
        <v>44927.0</v>
      </c>
      <c r="E88" s="18">
        <v>16.0</v>
      </c>
      <c r="F88" s="16" t="s">
        <v>74</v>
      </c>
      <c r="G88" s="16" t="s">
        <v>114</v>
      </c>
      <c r="H88" s="20" t="s">
        <v>27</v>
      </c>
      <c r="I88" s="21">
        <v>45138.0</v>
      </c>
      <c r="J88" s="21">
        <v>45139.0</v>
      </c>
      <c r="K88" s="20" t="s">
        <v>115</v>
      </c>
      <c r="L88" s="18" t="s">
        <v>116</v>
      </c>
      <c r="M88" s="18">
        <v>17066.49</v>
      </c>
      <c r="N88" s="18">
        <v>96.76</v>
      </c>
      <c r="O88" s="26">
        <f t="shared" si="2"/>
        <v>176.4</v>
      </c>
      <c r="P88" s="23">
        <f>IFERROR(__xludf.DUMMYFUNCTION("IFERROR(IFS(O88="""","""",O88&lt;&gt;"""",FILTER('Нормативные показатели (рабочая'!$G:$G,'Нормативные показатели (рабочая'!$F:$F=$C88,'Нормативные показатели (рабочая'!$B:$B&lt;=$E88,'Нормативные показатели (рабочая'!$C:$C&gt;=$E88,'Нормативные показатели (рабочая'!$"&amp;"E:$E=$K88)),""нет нормы"")"),170.0)</f>
        <v>170</v>
      </c>
      <c r="Q88" s="24">
        <f t="shared" si="1"/>
        <v>0.03764705882</v>
      </c>
      <c r="R88" s="19" t="s">
        <v>29</v>
      </c>
      <c r="S88" s="22">
        <f t="shared" si="3"/>
        <v>176.4</v>
      </c>
      <c r="T88" s="26">
        <f t="shared" si="4"/>
        <v>0</v>
      </c>
      <c r="U88" s="18" t="s">
        <v>117</v>
      </c>
      <c r="V88" s="27">
        <f t="shared" si="5"/>
        <v>0</v>
      </c>
      <c r="W88" s="25"/>
    </row>
    <row r="89" ht="15.75" customHeight="1">
      <c r="A89" s="16" t="s">
        <v>30</v>
      </c>
      <c r="B89" s="16" t="s">
        <v>34</v>
      </c>
      <c r="C89" s="16" t="s">
        <v>25</v>
      </c>
      <c r="D89" s="17">
        <v>44958.0</v>
      </c>
      <c r="E89" s="18">
        <v>1.0</v>
      </c>
      <c r="F89" s="16" t="s">
        <v>74</v>
      </c>
      <c r="G89" s="16" t="s">
        <v>114</v>
      </c>
      <c r="H89" s="20" t="s">
        <v>27</v>
      </c>
      <c r="I89" s="21">
        <v>45138.0</v>
      </c>
      <c r="J89" s="21">
        <v>45139.0</v>
      </c>
      <c r="K89" s="20" t="s">
        <v>115</v>
      </c>
      <c r="L89" s="18" t="s">
        <v>116</v>
      </c>
      <c r="M89" s="18">
        <v>2816.59</v>
      </c>
      <c r="N89" s="18">
        <v>26.71</v>
      </c>
      <c r="O89" s="26">
        <f t="shared" si="2"/>
        <v>105.5</v>
      </c>
      <c r="P89" s="23">
        <f>IFERROR(__xludf.DUMMYFUNCTION("IFERROR(IFS(O89="""","""",O89&lt;&gt;"""",FILTER('Нормативные показатели (рабочая'!$G:$G,'Нормативные показатели (рабочая'!$F:$F=$C89,'Нормативные показатели (рабочая'!$B:$B&lt;=$E89,'Нормативные показатели (рабочая'!$C:$C&gt;=$E89,'Нормативные показатели (рабочая'!$"&amp;"E:$E=$K89)),""нет нормы"")"),170.0)</f>
        <v>170</v>
      </c>
      <c r="Q89" s="24">
        <f t="shared" si="1"/>
        <v>-0.3794117647</v>
      </c>
      <c r="R89" s="19" t="s">
        <v>29</v>
      </c>
      <c r="S89" s="22">
        <f t="shared" si="3"/>
        <v>105.5</v>
      </c>
      <c r="T89" s="26">
        <f t="shared" si="4"/>
        <v>0</v>
      </c>
      <c r="U89" s="18" t="s">
        <v>118</v>
      </c>
      <c r="V89" s="27">
        <f t="shared" si="5"/>
        <v>0</v>
      </c>
      <c r="W89" s="38" t="s">
        <v>119</v>
      </c>
    </row>
    <row r="90" ht="15.75" customHeight="1">
      <c r="A90" s="16" t="s">
        <v>30</v>
      </c>
      <c r="B90" s="16" t="s">
        <v>34</v>
      </c>
      <c r="C90" s="16" t="s">
        <v>25</v>
      </c>
      <c r="D90" s="18">
        <v>2.0</v>
      </c>
      <c r="E90" s="18">
        <v>13.0</v>
      </c>
      <c r="F90" s="16" t="s">
        <v>74</v>
      </c>
      <c r="G90" s="16" t="s">
        <v>114</v>
      </c>
      <c r="H90" s="20" t="s">
        <v>27</v>
      </c>
      <c r="I90" s="21">
        <v>45138.0</v>
      </c>
      <c r="J90" s="21">
        <v>45139.0</v>
      </c>
      <c r="K90" s="20" t="s">
        <v>115</v>
      </c>
      <c r="L90" s="18" t="s">
        <v>120</v>
      </c>
      <c r="M90" s="18">
        <v>12500.16</v>
      </c>
      <c r="N90" s="18">
        <v>70.99</v>
      </c>
      <c r="O90" s="26">
        <f t="shared" si="2"/>
        <v>176.1</v>
      </c>
      <c r="P90" s="23">
        <f>IFERROR(__xludf.DUMMYFUNCTION("IFERROR(IFS(O90="""","""",O90&lt;&gt;"""",FILTER('Нормативные показатели (рабочая'!$G:$G,'Нормативные показатели (рабочая'!$F:$F=$C90,'Нормативные показатели (рабочая'!$B:$B&lt;=$E90,'Нормативные показатели (рабочая'!$C:$C&gt;=$E90,'Нормативные показатели (рабочая'!$"&amp;"E:$E=$K90)),""нет нормы"")"),170.0)</f>
        <v>170</v>
      </c>
      <c r="Q90" s="24">
        <f t="shared" si="1"/>
        <v>0.03588235294</v>
      </c>
      <c r="R90" s="19" t="s">
        <v>29</v>
      </c>
      <c r="S90" s="22">
        <f t="shared" si="3"/>
        <v>176.1</v>
      </c>
      <c r="T90" s="26">
        <f t="shared" si="4"/>
        <v>0</v>
      </c>
      <c r="U90" s="18" t="s">
        <v>117</v>
      </c>
      <c r="V90" s="27">
        <f t="shared" si="5"/>
        <v>0</v>
      </c>
      <c r="W90" s="25"/>
    </row>
    <row r="91" ht="15.75" customHeight="1">
      <c r="A91" s="16" t="s">
        <v>30</v>
      </c>
      <c r="B91" s="16" t="s">
        <v>34</v>
      </c>
      <c r="C91" s="16" t="s">
        <v>25</v>
      </c>
      <c r="D91" s="18">
        <v>3.0</v>
      </c>
      <c r="E91" s="18">
        <v>8.0</v>
      </c>
      <c r="F91" s="16" t="s">
        <v>74</v>
      </c>
      <c r="G91" s="16" t="s">
        <v>114</v>
      </c>
      <c r="H91" s="20" t="s">
        <v>27</v>
      </c>
      <c r="I91" s="21">
        <v>45138.0</v>
      </c>
      <c r="J91" s="21">
        <v>45139.0</v>
      </c>
      <c r="K91" s="20" t="s">
        <v>115</v>
      </c>
      <c r="L91" s="18" t="s">
        <v>116</v>
      </c>
      <c r="M91" s="18">
        <v>9533.14</v>
      </c>
      <c r="N91" s="18">
        <v>62.55</v>
      </c>
      <c r="O91" s="26">
        <f t="shared" si="2"/>
        <v>152.4</v>
      </c>
      <c r="P91" s="23">
        <f>IFERROR(__xludf.DUMMYFUNCTION("IFERROR(IFS(O91="""","""",O91&lt;&gt;"""",FILTER('Нормативные показатели (рабочая'!$G:$G,'Нормативные показатели (рабочая'!$F:$F=$C91,'Нормативные показатели (рабочая'!$B:$B&lt;=$E91,'Нормативные показатели (рабочая'!$C:$C&gt;=$E91,'Нормативные показатели (рабочая'!$"&amp;"E:$E=$K91)),""нет нормы"")"),170.0)</f>
        <v>170</v>
      </c>
      <c r="Q91" s="24">
        <f t="shared" si="1"/>
        <v>-0.1035294118</v>
      </c>
      <c r="R91" s="19" t="s">
        <v>29</v>
      </c>
      <c r="S91" s="22">
        <f t="shared" si="3"/>
        <v>152.4</v>
      </c>
      <c r="T91" s="26">
        <f t="shared" si="4"/>
        <v>0</v>
      </c>
      <c r="U91" s="16" t="s">
        <v>121</v>
      </c>
      <c r="V91" s="27">
        <f t="shared" si="5"/>
        <v>0</v>
      </c>
      <c r="W91" s="38" t="s">
        <v>119</v>
      </c>
    </row>
    <row r="92" ht="15.75" customHeight="1">
      <c r="A92" s="16" t="s">
        <v>30</v>
      </c>
      <c r="B92" s="16" t="s">
        <v>34</v>
      </c>
      <c r="C92" s="16" t="s">
        <v>25</v>
      </c>
      <c r="D92" s="17">
        <v>44927.0</v>
      </c>
      <c r="E92" s="18">
        <v>16.0</v>
      </c>
      <c r="F92" s="16" t="s">
        <v>74</v>
      </c>
      <c r="G92" s="16" t="s">
        <v>122</v>
      </c>
      <c r="H92" s="20" t="s">
        <v>27</v>
      </c>
      <c r="I92" s="21">
        <v>45138.0</v>
      </c>
      <c r="J92" s="21">
        <v>45139.0</v>
      </c>
      <c r="K92" s="20" t="s">
        <v>70</v>
      </c>
      <c r="L92" s="18" t="s">
        <v>123</v>
      </c>
      <c r="M92" s="18">
        <v>10536.26</v>
      </c>
      <c r="N92" s="18">
        <v>64.36</v>
      </c>
      <c r="O92" s="26">
        <f t="shared" si="2"/>
        <v>163.7</v>
      </c>
      <c r="P92" s="23">
        <f>IFERROR(__xludf.DUMMYFUNCTION("IFERROR(IFS(O92="""","""",O92&lt;&gt;"""",FILTER('Нормативные показатели (рабочая'!$G:$G,'Нормативные показатели (рабочая'!$F:$F=$C92,'Нормативные показатели (рабочая'!$B:$B&lt;=$E92,'Нормативные показатели (рабочая'!$C:$C&gt;=$E92,'Нормативные показатели (рабочая'!$"&amp;"E:$E=$K92)),""нет нормы"")"),160.0)</f>
        <v>160</v>
      </c>
      <c r="Q92" s="24">
        <f t="shared" si="1"/>
        <v>0.023125</v>
      </c>
      <c r="R92" s="19" t="s">
        <v>29</v>
      </c>
      <c r="S92" s="22">
        <f t="shared" si="3"/>
        <v>163.7</v>
      </c>
      <c r="T92" s="26">
        <f t="shared" si="4"/>
        <v>0</v>
      </c>
      <c r="U92" s="16" t="s">
        <v>117</v>
      </c>
      <c r="V92" s="27">
        <f t="shared" si="5"/>
        <v>0</v>
      </c>
      <c r="W92" s="29"/>
    </row>
    <row r="93" ht="15.75" customHeight="1">
      <c r="A93" s="16" t="s">
        <v>30</v>
      </c>
      <c r="B93" s="16" t="s">
        <v>34</v>
      </c>
      <c r="C93" s="16" t="s">
        <v>25</v>
      </c>
      <c r="D93" s="18">
        <v>2.0</v>
      </c>
      <c r="E93" s="18">
        <v>13.0</v>
      </c>
      <c r="F93" s="16" t="s">
        <v>74</v>
      </c>
      <c r="G93" s="16" t="s">
        <v>122</v>
      </c>
      <c r="H93" s="20" t="s">
        <v>27</v>
      </c>
      <c r="I93" s="21">
        <v>45138.0</v>
      </c>
      <c r="J93" s="21">
        <v>45139.0</v>
      </c>
      <c r="K93" s="20" t="s">
        <v>70</v>
      </c>
      <c r="L93" s="18" t="s">
        <v>123</v>
      </c>
      <c r="M93" s="18">
        <v>7299.44</v>
      </c>
      <c r="N93" s="18">
        <v>57.4</v>
      </c>
      <c r="O93" s="26">
        <f t="shared" si="2"/>
        <v>127.2</v>
      </c>
      <c r="P93" s="23">
        <f>IFERROR(__xludf.DUMMYFUNCTION("IFERROR(IFS(O93="""","""",O93&lt;&gt;"""",FILTER('Нормативные показатели (рабочая'!$G:$G,'Нормативные показатели (рабочая'!$F:$F=$C93,'Нормативные показатели (рабочая'!$B:$B&lt;=$E93,'Нормативные показатели (рабочая'!$C:$C&gt;=$E93,'Нормативные показатели (рабочая'!$"&amp;"E:$E=$K93)),""нет нормы"")"),160.0)</f>
        <v>160</v>
      </c>
      <c r="Q93" s="24">
        <f t="shared" si="1"/>
        <v>-0.205</v>
      </c>
      <c r="R93" s="19" t="s">
        <v>29</v>
      </c>
      <c r="S93" s="22">
        <f t="shared" si="3"/>
        <v>127.2</v>
      </c>
      <c r="T93" s="26">
        <f t="shared" si="4"/>
        <v>0</v>
      </c>
      <c r="U93" s="29"/>
      <c r="V93" s="27">
        <f t="shared" si="5"/>
        <v>0</v>
      </c>
      <c r="W93" s="38" t="s">
        <v>124</v>
      </c>
    </row>
    <row r="94" ht="15.75" customHeight="1">
      <c r="A94" s="16" t="s">
        <v>30</v>
      </c>
      <c r="B94" s="16" t="s">
        <v>34</v>
      </c>
      <c r="C94" s="16" t="s">
        <v>25</v>
      </c>
      <c r="D94" s="18">
        <v>3.0</v>
      </c>
      <c r="E94" s="18">
        <v>8.0</v>
      </c>
      <c r="F94" s="16" t="s">
        <v>74</v>
      </c>
      <c r="G94" s="16" t="s">
        <v>122</v>
      </c>
      <c r="H94" s="20" t="s">
        <v>27</v>
      </c>
      <c r="I94" s="21">
        <v>45138.0</v>
      </c>
      <c r="J94" s="21">
        <v>45139.0</v>
      </c>
      <c r="K94" s="20" t="s">
        <v>70</v>
      </c>
      <c r="L94" s="18" t="s">
        <v>123</v>
      </c>
      <c r="M94" s="18">
        <v>6534.44</v>
      </c>
      <c r="N94" s="18">
        <v>49.46</v>
      </c>
      <c r="O94" s="26">
        <f t="shared" si="2"/>
        <v>132.1</v>
      </c>
      <c r="P94" s="23">
        <f>IFERROR(__xludf.DUMMYFUNCTION("IFERROR(IFS(O94="""","""",O94&lt;&gt;"""",FILTER('Нормативные показатели (рабочая'!$G:$G,'Нормативные показатели (рабочая'!$F:$F=$C94,'Нормативные показатели (рабочая'!$B:$B&lt;=$E94,'Нормативные показатели (рабочая'!$C:$C&gt;=$E94,'Нормативные показатели (рабочая'!$"&amp;"E:$E=$K94)),""нет нормы"")"),160.0)</f>
        <v>160</v>
      </c>
      <c r="Q94" s="24">
        <f t="shared" si="1"/>
        <v>-0.174375</v>
      </c>
      <c r="R94" s="19" t="s">
        <v>29</v>
      </c>
      <c r="S94" s="22">
        <f t="shared" si="3"/>
        <v>132.1</v>
      </c>
      <c r="T94" s="26">
        <f t="shared" si="4"/>
        <v>0</v>
      </c>
      <c r="U94" s="29"/>
      <c r="V94" s="27">
        <f t="shared" si="5"/>
        <v>0</v>
      </c>
      <c r="W94" s="38" t="s">
        <v>124</v>
      </c>
    </row>
    <row r="95" ht="15.75" customHeight="1">
      <c r="A95" s="16" t="s">
        <v>30</v>
      </c>
      <c r="B95" s="16" t="s">
        <v>34</v>
      </c>
      <c r="C95" s="16" t="s">
        <v>25</v>
      </c>
      <c r="D95" s="17">
        <v>44927.0</v>
      </c>
      <c r="E95" s="18">
        <v>16.0</v>
      </c>
      <c r="F95" s="16" t="s">
        <v>74</v>
      </c>
      <c r="G95" s="16" t="s">
        <v>122</v>
      </c>
      <c r="H95" s="20" t="s">
        <v>27</v>
      </c>
      <c r="I95" s="21">
        <v>45138.0</v>
      </c>
      <c r="J95" s="21">
        <v>45139.0</v>
      </c>
      <c r="K95" s="20" t="s">
        <v>37</v>
      </c>
      <c r="L95" s="18" t="s">
        <v>125</v>
      </c>
      <c r="M95" s="18">
        <v>8504.22</v>
      </c>
      <c r="N95" s="18">
        <v>64.51</v>
      </c>
      <c r="O95" s="26">
        <f t="shared" si="2"/>
        <v>131.8</v>
      </c>
      <c r="P95" s="23">
        <f>IFERROR(__xludf.DUMMYFUNCTION("IFERROR(IFS(O95="""","""",O95&lt;&gt;"""",FILTER('Нормативные показатели (рабочая'!$G:$G,'Нормативные показатели (рабочая'!$F:$F=$C95,'Нормативные показатели (рабочая'!$B:$B&lt;=$E95,'Нормативные показатели (рабочая'!$C:$C&gt;=$E95,'Нормативные показатели (рабочая'!$"&amp;"E:$E=$K95)),""нет нормы"")"),125.0)</f>
        <v>125</v>
      </c>
      <c r="Q95" s="24">
        <f t="shared" si="1"/>
        <v>0.0544</v>
      </c>
      <c r="R95" s="19" t="s">
        <v>29</v>
      </c>
      <c r="S95" s="22">
        <f t="shared" si="3"/>
        <v>131.8</v>
      </c>
      <c r="T95" s="26">
        <f t="shared" si="4"/>
        <v>0</v>
      </c>
      <c r="U95" s="16" t="s">
        <v>126</v>
      </c>
      <c r="V95" s="27">
        <f t="shared" si="5"/>
        <v>0</v>
      </c>
      <c r="W95" s="38" t="s">
        <v>124</v>
      </c>
    </row>
    <row r="96" ht="15.75" customHeight="1">
      <c r="A96" s="16" t="s">
        <v>30</v>
      </c>
      <c r="B96" s="16" t="s">
        <v>34</v>
      </c>
      <c r="C96" s="16" t="s">
        <v>25</v>
      </c>
      <c r="D96" s="18">
        <v>2.0</v>
      </c>
      <c r="E96" s="18">
        <v>13.0</v>
      </c>
      <c r="F96" s="16" t="s">
        <v>74</v>
      </c>
      <c r="G96" s="16" t="s">
        <v>122</v>
      </c>
      <c r="H96" s="20" t="s">
        <v>27</v>
      </c>
      <c r="I96" s="21">
        <v>45138.0</v>
      </c>
      <c r="J96" s="21">
        <v>45139.0</v>
      </c>
      <c r="K96" s="20" t="s">
        <v>37</v>
      </c>
      <c r="L96" s="18" t="s">
        <v>125</v>
      </c>
      <c r="M96" s="18">
        <v>7157.91</v>
      </c>
      <c r="N96" s="18">
        <v>57.4</v>
      </c>
      <c r="O96" s="26">
        <f t="shared" si="2"/>
        <v>124.7</v>
      </c>
      <c r="P96" s="23">
        <f>IFERROR(__xludf.DUMMYFUNCTION("IFERROR(IFS(O96="""","""",O96&lt;&gt;"""",FILTER('Нормативные показатели (рабочая'!$G:$G,'Нормативные показатели (рабочая'!$F:$F=$C96,'Нормативные показатели (рабочая'!$B:$B&lt;=$E96,'Нормативные показатели (рабочая'!$C:$C&gt;=$E96,'Нормативные показатели (рабочая'!$"&amp;"E:$E=$K96)),""нет нормы"")"),125.0)</f>
        <v>125</v>
      </c>
      <c r="Q96" s="24">
        <f t="shared" si="1"/>
        <v>-0.0024</v>
      </c>
      <c r="R96" s="19" t="s">
        <v>29</v>
      </c>
      <c r="S96" s="22">
        <f t="shared" si="3"/>
        <v>124.7</v>
      </c>
      <c r="T96" s="26">
        <f t="shared" si="4"/>
        <v>0</v>
      </c>
      <c r="U96" s="29"/>
      <c r="V96" s="27">
        <f t="shared" si="5"/>
        <v>0</v>
      </c>
      <c r="W96" s="29"/>
    </row>
    <row r="97" ht="15.75" customHeight="1">
      <c r="A97" s="16" t="s">
        <v>30</v>
      </c>
      <c r="B97" s="16" t="s">
        <v>34</v>
      </c>
      <c r="C97" s="16" t="s">
        <v>25</v>
      </c>
      <c r="D97" s="18">
        <v>3.0</v>
      </c>
      <c r="E97" s="18">
        <v>8.0</v>
      </c>
      <c r="F97" s="16" t="s">
        <v>74</v>
      </c>
      <c r="G97" s="16" t="s">
        <v>122</v>
      </c>
      <c r="H97" s="20" t="s">
        <v>27</v>
      </c>
      <c r="I97" s="21">
        <v>45138.0</v>
      </c>
      <c r="J97" s="21">
        <v>45139.0</v>
      </c>
      <c r="K97" s="20" t="s">
        <v>37</v>
      </c>
      <c r="L97" s="18" t="s">
        <v>125</v>
      </c>
      <c r="M97" s="18">
        <v>6534.44</v>
      </c>
      <c r="N97" s="18">
        <v>49.46</v>
      </c>
      <c r="O97" s="26">
        <f t="shared" si="2"/>
        <v>132.1</v>
      </c>
      <c r="P97" s="23">
        <f>IFERROR(__xludf.DUMMYFUNCTION("IFERROR(IFS(O97="""","""",O97&lt;&gt;"""",FILTER('Нормативные показатели (рабочая'!$G:$G,'Нормативные показатели (рабочая'!$F:$F=$C97,'Нормативные показатели (рабочая'!$B:$B&lt;=$E97,'Нормативные показатели (рабочая'!$C:$C&gt;=$E97,'Нормативные показатели (рабочая'!$"&amp;"E:$E=$K97)),""нет нормы"")"),125.0)</f>
        <v>125</v>
      </c>
      <c r="Q97" s="24">
        <f t="shared" si="1"/>
        <v>0.0568</v>
      </c>
      <c r="R97" s="19" t="s">
        <v>29</v>
      </c>
      <c r="S97" s="22">
        <f t="shared" si="3"/>
        <v>132.1</v>
      </c>
      <c r="T97" s="26">
        <f t="shared" si="4"/>
        <v>0</v>
      </c>
      <c r="U97" s="16" t="s">
        <v>126</v>
      </c>
      <c r="V97" s="27">
        <f t="shared" si="5"/>
        <v>0</v>
      </c>
      <c r="W97" s="38" t="s">
        <v>124</v>
      </c>
    </row>
    <row r="98" ht="15.75" customHeight="1">
      <c r="A98" s="16" t="s">
        <v>35</v>
      </c>
      <c r="B98" s="16" t="s">
        <v>36</v>
      </c>
      <c r="C98" s="16" t="s">
        <v>25</v>
      </c>
      <c r="D98" s="18">
        <v>1.2</v>
      </c>
      <c r="E98" s="18">
        <v>30.0</v>
      </c>
      <c r="F98" s="16" t="s">
        <v>49</v>
      </c>
      <c r="G98" s="20" t="s">
        <v>127</v>
      </c>
      <c r="H98" s="20" t="s">
        <v>27</v>
      </c>
      <c r="I98" s="21">
        <v>45139.0</v>
      </c>
      <c r="J98" s="25"/>
      <c r="K98" s="20" t="s">
        <v>81</v>
      </c>
      <c r="L98" s="18">
        <v>10.0</v>
      </c>
      <c r="M98" s="35">
        <f>2238.3+27.8+30176.3</f>
        <v>32442.4</v>
      </c>
      <c r="N98" s="35">
        <f>202.4+9.3</f>
        <v>211.7</v>
      </c>
      <c r="O98" s="26">
        <f t="shared" si="2"/>
        <v>153.2</v>
      </c>
      <c r="P98" s="23" t="str">
        <f>IFERROR(__xludf.DUMMYFUNCTION("IFERROR(IFS(O98="""","""",O98&lt;&gt;"""",FILTER('Нормативные показатели (рабочая'!$G:$G,'Нормативные показатели (рабочая'!$F:$F=$C98,'Нормативные показатели (рабочая'!$B:$B&lt;=$E98,'Нормативные показатели (рабочая'!$C:$C&gt;=$E98,'Нормативные показатели (рабочая'!$"&amp;"E:$E=$K98)),""нет нормы"")"),"нет нормы")</f>
        <v>нет нормы</v>
      </c>
      <c r="Q98" s="24" t="str">
        <f t="shared" si="1"/>
        <v>нет</v>
      </c>
      <c r="R98" s="19" t="s">
        <v>67</v>
      </c>
      <c r="S98" s="29"/>
      <c r="T98" s="26">
        <f t="shared" si="4"/>
        <v>-153.2</v>
      </c>
      <c r="U98" s="29"/>
      <c r="V98" s="27"/>
      <c r="W98" s="29"/>
    </row>
    <row r="99" ht="15.75" customHeight="1">
      <c r="A99" s="16" t="s">
        <v>30</v>
      </c>
      <c r="B99" s="16" t="s">
        <v>34</v>
      </c>
      <c r="C99" s="16" t="s">
        <v>25</v>
      </c>
      <c r="D99" s="17">
        <v>44927.0</v>
      </c>
      <c r="E99" s="18">
        <v>16.0</v>
      </c>
      <c r="F99" s="16" t="s">
        <v>32</v>
      </c>
      <c r="G99" s="16" t="s">
        <v>128</v>
      </c>
      <c r="H99" s="20" t="s">
        <v>27</v>
      </c>
      <c r="I99" s="21">
        <v>45139.0</v>
      </c>
      <c r="J99" s="25"/>
      <c r="K99" s="20" t="s">
        <v>33</v>
      </c>
      <c r="L99" s="18" t="s">
        <v>116</v>
      </c>
      <c r="M99" s="18">
        <v>14692.79</v>
      </c>
      <c r="N99" s="18">
        <v>147.91</v>
      </c>
      <c r="O99" s="26">
        <f t="shared" si="2"/>
        <v>99.3</v>
      </c>
      <c r="P99" s="23">
        <f>IFERROR(__xludf.DUMMYFUNCTION("IFERROR(IFS(O99="""","""",O99&lt;&gt;"""",FILTER('Нормативные показатели (рабочая'!$G:$G,'Нормативные показатели (рабочая'!$F:$F=$C99,'Нормативные показатели (рабочая'!$B:$B&lt;=$E99,'Нормативные показатели (рабочая'!$C:$C&gt;=$E99,'Нормативные показатели (рабочая'!$"&amp;"E:$E=$K99)),""нет нормы"")"),115.0)</f>
        <v>115</v>
      </c>
      <c r="Q99" s="24">
        <f t="shared" si="1"/>
        <v>-0.1365217391</v>
      </c>
      <c r="R99" s="29"/>
      <c r="S99" s="29"/>
      <c r="T99" s="26">
        <f t="shared" si="4"/>
        <v>-99.3</v>
      </c>
      <c r="U99" s="29"/>
      <c r="V99" s="27"/>
      <c r="W99" s="39" t="s">
        <v>129</v>
      </c>
    </row>
    <row r="100" ht="15.75" customHeight="1">
      <c r="A100" s="16" t="s">
        <v>30</v>
      </c>
      <c r="B100" s="16" t="s">
        <v>34</v>
      </c>
      <c r="C100" s="16" t="s">
        <v>25</v>
      </c>
      <c r="D100" s="17">
        <v>44958.0</v>
      </c>
      <c r="E100" s="18">
        <v>1.0</v>
      </c>
      <c r="F100" s="16" t="s">
        <v>32</v>
      </c>
      <c r="G100" s="16" t="s">
        <v>128</v>
      </c>
      <c r="H100" s="20" t="s">
        <v>27</v>
      </c>
      <c r="I100" s="21">
        <v>45139.0</v>
      </c>
      <c r="J100" s="25"/>
      <c r="K100" s="20" t="s">
        <v>33</v>
      </c>
      <c r="L100" s="18" t="s">
        <v>116</v>
      </c>
      <c r="M100" s="18">
        <v>6782.48</v>
      </c>
      <c r="N100" s="18">
        <v>79.87</v>
      </c>
      <c r="O100" s="26">
        <f t="shared" si="2"/>
        <v>84.9</v>
      </c>
      <c r="P100" s="23">
        <f>IFERROR(__xludf.DUMMYFUNCTION("IFERROR(IFS(O100="""","""",O100&lt;&gt;"""",FILTER('Нормативные показатели (рабочая'!$G:$G,'Нормативные показатели (рабочая'!$F:$F=$C100,'Нормативные показатели (рабочая'!$B:$B&lt;=$E100,'Нормативные показатели (рабочая'!$C:$C&gt;=$E100,'Нормативные показатели (рабоч"&amp;"ая'!$E:$E=$K100)),""нет нормы"")"),115.0)</f>
        <v>115</v>
      </c>
      <c r="Q100" s="24">
        <f t="shared" si="1"/>
        <v>-0.2617391304</v>
      </c>
      <c r="R100" s="29"/>
      <c r="S100" s="29"/>
      <c r="T100" s="26">
        <f t="shared" si="4"/>
        <v>-84.9</v>
      </c>
      <c r="U100" s="29"/>
      <c r="V100" s="27"/>
      <c r="W100" s="40" t="s">
        <v>130</v>
      </c>
    </row>
    <row r="101" ht="15.75" customHeight="1">
      <c r="A101" s="16" t="s">
        <v>30</v>
      </c>
      <c r="B101" s="16" t="s">
        <v>34</v>
      </c>
      <c r="C101" s="16" t="s">
        <v>25</v>
      </c>
      <c r="D101" s="18">
        <v>2.0</v>
      </c>
      <c r="E101" s="18">
        <v>13.0</v>
      </c>
      <c r="F101" s="16" t="s">
        <v>32</v>
      </c>
      <c r="G101" s="16" t="s">
        <v>128</v>
      </c>
      <c r="H101" s="20" t="s">
        <v>27</v>
      </c>
      <c r="I101" s="21">
        <v>45139.0</v>
      </c>
      <c r="J101" s="25"/>
      <c r="K101" s="20" t="s">
        <v>33</v>
      </c>
      <c r="L101" s="18" t="s">
        <v>116</v>
      </c>
      <c r="M101" s="18">
        <v>13670.47</v>
      </c>
      <c r="N101" s="18">
        <v>149.75</v>
      </c>
      <c r="O101" s="26">
        <f t="shared" si="2"/>
        <v>91.3</v>
      </c>
      <c r="P101" s="23">
        <f>IFERROR(__xludf.DUMMYFUNCTION("IFERROR(IFS(O101="""","""",O101&lt;&gt;"""",FILTER('Нормативные показатели (рабочая'!$G:$G,'Нормативные показатели (рабочая'!$F:$F=$C101,'Нормативные показатели (рабочая'!$B:$B&lt;=$E101,'Нормативные показатели (рабочая'!$C:$C&gt;=$E101,'Нормативные показатели (рабоч"&amp;"ая'!$E:$E=$K101)),""нет нормы"")"),115.0)</f>
        <v>115</v>
      </c>
      <c r="Q101" s="24">
        <f t="shared" si="1"/>
        <v>-0.2060869565</v>
      </c>
      <c r="R101" s="29"/>
      <c r="S101" s="29"/>
      <c r="T101" s="26">
        <f t="shared" si="4"/>
        <v>-91.3</v>
      </c>
      <c r="U101" s="29"/>
      <c r="V101" s="27"/>
      <c r="W101" s="40" t="s">
        <v>131</v>
      </c>
    </row>
    <row r="102" ht="15.75" customHeight="1">
      <c r="A102" s="16" t="s">
        <v>30</v>
      </c>
      <c r="B102" s="16" t="s">
        <v>34</v>
      </c>
      <c r="C102" s="16" t="s">
        <v>25</v>
      </c>
      <c r="D102" s="18">
        <v>3.0</v>
      </c>
      <c r="E102" s="18">
        <v>8.0</v>
      </c>
      <c r="F102" s="16" t="s">
        <v>32</v>
      </c>
      <c r="G102" s="16" t="s">
        <v>128</v>
      </c>
      <c r="H102" s="20" t="s">
        <v>27</v>
      </c>
      <c r="I102" s="21">
        <v>45139.0</v>
      </c>
      <c r="J102" s="25"/>
      <c r="K102" s="20" t="s">
        <v>33</v>
      </c>
      <c r="L102" s="18" t="s">
        <v>116</v>
      </c>
      <c r="M102" s="18">
        <v>11869.68</v>
      </c>
      <c r="N102" s="18">
        <v>130.98</v>
      </c>
      <c r="O102" s="26">
        <f t="shared" si="2"/>
        <v>90.6</v>
      </c>
      <c r="P102" s="23">
        <f>IFERROR(__xludf.DUMMYFUNCTION("IFERROR(IFS(O102="""","""",O102&lt;&gt;"""",FILTER('Нормативные показатели (рабочая'!$G:$G,'Нормативные показатели (рабочая'!$F:$F=$C102,'Нормативные показатели (рабочая'!$B:$B&lt;=$E102,'Нормативные показатели (рабочая'!$C:$C&gt;=$E102,'Нормативные показатели (рабоч"&amp;"ая'!$E:$E=$K102)),""нет нормы"")"),115.0)</f>
        <v>115</v>
      </c>
      <c r="Q102" s="24">
        <f t="shared" si="1"/>
        <v>-0.212173913</v>
      </c>
      <c r="R102" s="29"/>
      <c r="S102" s="29"/>
      <c r="T102" s="26">
        <f t="shared" si="4"/>
        <v>-90.6</v>
      </c>
      <c r="U102" s="29"/>
      <c r="V102" s="27"/>
      <c r="W102" s="40" t="s">
        <v>132</v>
      </c>
    </row>
    <row r="103" ht="15.75" customHeight="1">
      <c r="A103" s="16" t="s">
        <v>30</v>
      </c>
      <c r="B103" s="16" t="s">
        <v>34</v>
      </c>
      <c r="C103" s="16" t="s">
        <v>25</v>
      </c>
      <c r="D103" s="17">
        <v>44927.0</v>
      </c>
      <c r="E103" s="18">
        <v>16.0</v>
      </c>
      <c r="F103" s="16" t="s">
        <v>44</v>
      </c>
      <c r="G103" s="16" t="s">
        <v>133</v>
      </c>
      <c r="H103" s="20" t="s">
        <v>27</v>
      </c>
      <c r="I103" s="21">
        <v>45139.0</v>
      </c>
      <c r="J103" s="25"/>
      <c r="K103" s="20" t="s">
        <v>81</v>
      </c>
      <c r="L103" s="18" t="s">
        <v>123</v>
      </c>
      <c r="M103" s="18">
        <v>15300.01</v>
      </c>
      <c r="N103" s="18">
        <v>150.14</v>
      </c>
      <c r="O103" s="26">
        <f t="shared" si="2"/>
        <v>101.9</v>
      </c>
      <c r="P103" s="23">
        <f>IFERROR(__xludf.DUMMYFUNCTION("IFERROR(IFS(O103="""","""",O103&lt;&gt;"""",FILTER('Нормативные показатели (рабочая'!$G:$G,'Нормативные показатели (рабочая'!$F:$F=$C103,'Нормативные показатели (рабочая'!$B:$B&lt;=$E103,'Нормативные показатели (рабочая'!$C:$C&gt;=$E103,'Нормативные показатели (рабоч"&amp;"ая'!$E:$E=$K103)),""нет нормы"")"),115.0)</f>
        <v>115</v>
      </c>
      <c r="Q103" s="24">
        <f t="shared" si="1"/>
        <v>-0.1139130435</v>
      </c>
      <c r="R103" s="29"/>
      <c r="S103" s="29"/>
      <c r="T103" s="26">
        <f t="shared" si="4"/>
        <v>-101.9</v>
      </c>
      <c r="U103" s="29"/>
      <c r="V103" s="27"/>
      <c r="W103" s="40" t="s">
        <v>134</v>
      </c>
    </row>
    <row r="104" ht="15.75" customHeight="1">
      <c r="A104" s="16" t="s">
        <v>30</v>
      </c>
      <c r="B104" s="16" t="s">
        <v>34</v>
      </c>
      <c r="C104" s="16" t="s">
        <v>25</v>
      </c>
      <c r="D104" s="18">
        <v>2.0</v>
      </c>
      <c r="E104" s="18">
        <v>13.0</v>
      </c>
      <c r="F104" s="16" t="s">
        <v>32</v>
      </c>
      <c r="G104" s="16" t="s">
        <v>133</v>
      </c>
      <c r="H104" s="20" t="s">
        <v>27</v>
      </c>
      <c r="I104" s="21">
        <v>45139.0</v>
      </c>
      <c r="J104" s="25"/>
      <c r="K104" s="20" t="s">
        <v>81</v>
      </c>
      <c r="L104" s="18" t="s">
        <v>123</v>
      </c>
      <c r="M104" s="18">
        <v>13893.93</v>
      </c>
      <c r="N104" s="18">
        <v>150.71</v>
      </c>
      <c r="O104" s="26">
        <f t="shared" si="2"/>
        <v>92.2</v>
      </c>
      <c r="P104" s="23">
        <f>IFERROR(__xludf.DUMMYFUNCTION("IFERROR(IFS(O104="""","""",O104&lt;&gt;"""",FILTER('Нормативные показатели (рабочая'!$G:$G,'Нормативные показатели (рабочая'!$F:$F=$C104,'Нормативные показатели (рабочая'!$B:$B&lt;=$E104,'Нормативные показатели (рабочая'!$C:$C&gt;=$E104,'Нормативные показатели (рабоч"&amp;"ая'!$E:$E=$K104)),""нет нормы"")"),115.0)</f>
        <v>115</v>
      </c>
      <c r="Q104" s="24">
        <f t="shared" si="1"/>
        <v>-0.1982608696</v>
      </c>
      <c r="R104" s="29"/>
      <c r="S104" s="29"/>
      <c r="T104" s="26">
        <f t="shared" si="4"/>
        <v>-92.2</v>
      </c>
      <c r="U104" s="29"/>
      <c r="V104" s="27"/>
      <c r="W104" s="40" t="s">
        <v>135</v>
      </c>
    </row>
    <row r="105" ht="15.75" customHeight="1">
      <c r="A105" s="16" t="s">
        <v>30</v>
      </c>
      <c r="B105" s="16" t="s">
        <v>34</v>
      </c>
      <c r="C105" s="16" t="s">
        <v>25</v>
      </c>
      <c r="D105" s="18">
        <v>3.0</v>
      </c>
      <c r="E105" s="18">
        <v>8.0</v>
      </c>
      <c r="F105" s="16" t="s">
        <v>32</v>
      </c>
      <c r="G105" s="16" t="s">
        <v>133</v>
      </c>
      <c r="H105" s="20" t="s">
        <v>27</v>
      </c>
      <c r="I105" s="21">
        <v>45139.0</v>
      </c>
      <c r="J105" s="25"/>
      <c r="K105" s="20" t="s">
        <v>81</v>
      </c>
      <c r="L105" s="18" t="s">
        <v>123</v>
      </c>
      <c r="M105" s="18">
        <v>12110.46</v>
      </c>
      <c r="N105" s="18">
        <v>132.7</v>
      </c>
      <c r="O105" s="26">
        <f t="shared" si="2"/>
        <v>91.3</v>
      </c>
      <c r="P105" s="23">
        <f>IFERROR(__xludf.DUMMYFUNCTION("IFERROR(IFS(O105="""","""",O105&lt;&gt;"""",FILTER('Нормативные показатели (рабочая'!$G:$G,'Нормативные показатели (рабочая'!$F:$F=$C105,'Нормативные показатели (рабочая'!$B:$B&lt;=$E105,'Нормативные показатели (рабочая'!$C:$C&gt;=$E105,'Нормативные показатели (рабоч"&amp;"ая'!$E:$E=$K105)),""нет нормы"")"),115.0)</f>
        <v>115</v>
      </c>
      <c r="Q105" s="24">
        <f t="shared" si="1"/>
        <v>-0.2060869565</v>
      </c>
      <c r="R105" s="29"/>
      <c r="S105" s="29"/>
      <c r="T105" s="26">
        <f t="shared" si="4"/>
        <v>-91.3</v>
      </c>
      <c r="U105" s="29"/>
      <c r="V105" s="27"/>
      <c r="W105" s="40" t="s">
        <v>136</v>
      </c>
    </row>
    <row r="106" ht="15.75" customHeight="1">
      <c r="A106" s="29"/>
      <c r="B106" s="16"/>
      <c r="C106" s="29"/>
      <c r="D106" s="35"/>
      <c r="E106" s="18" t="s">
        <v>137</v>
      </c>
      <c r="F106" s="29"/>
      <c r="G106" s="19"/>
      <c r="H106" s="41"/>
      <c r="I106" s="25"/>
      <c r="J106" s="25"/>
      <c r="K106" s="41"/>
      <c r="L106" s="35"/>
      <c r="M106" s="35"/>
      <c r="N106" s="35"/>
      <c r="O106" s="26" t="str">
        <f t="shared" ref="O106:O109" si="6">M106/N106</f>
        <v>#DIV/0!</v>
      </c>
      <c r="P106" s="23" t="str">
        <f>IFERROR(__xludf.DUMMYFUNCTION("IFERROR(IFS(O106="""","""",O106&lt;&gt;"""",FILTER('Нормативные показатели (рабочая'!$G:$G,'Нормативные показатели (рабочая'!$F:$F=$C106,'Нормативные показатели (рабочая'!$B:$B&lt;=$E106,'Нормативные показатели (рабочая'!$C:$C&gt;=$E106,'Нормативные показатели (рабоч"&amp;"ая'!$E:$E=$K106)),""нет нормы"")"),"нет нормы")</f>
        <v>нет нормы</v>
      </c>
      <c r="Q106" s="24" t="str">
        <f t="shared" si="1"/>
        <v>нет</v>
      </c>
      <c r="R106" s="29"/>
      <c r="S106" s="29"/>
      <c r="T106" s="26" t="str">
        <f t="shared" si="4"/>
        <v>#DIV/0!</v>
      </c>
      <c r="U106" s="29"/>
      <c r="V106" s="42"/>
      <c r="W106" s="29"/>
    </row>
    <row r="107" ht="15.75" customHeight="1">
      <c r="A107" s="29"/>
      <c r="B107" s="16"/>
      <c r="C107" s="29"/>
      <c r="D107" s="35"/>
      <c r="E107" s="18" t="s">
        <v>137</v>
      </c>
      <c r="F107" s="29"/>
      <c r="G107" s="19"/>
      <c r="H107" s="41"/>
      <c r="I107" s="25"/>
      <c r="J107" s="25"/>
      <c r="K107" s="41"/>
      <c r="L107" s="35"/>
      <c r="M107" s="35"/>
      <c r="N107" s="35"/>
      <c r="O107" s="26" t="str">
        <f t="shared" si="6"/>
        <v>#DIV/0!</v>
      </c>
      <c r="P107" s="23" t="str">
        <f>IFERROR(__xludf.DUMMYFUNCTION("IFERROR(IFS(O107="""","""",O107&lt;&gt;"""",FILTER('Нормативные показатели (рабочая'!$G:$G,'Нормативные показатели (рабочая'!$F:$F=$C107,'Нормативные показатели (рабочая'!$B:$B&lt;=$E107,'Нормативные показатели (рабочая'!$C:$C&gt;=$E107,'Нормативные показатели (рабоч"&amp;"ая'!$E:$E=$K107)),""нет нормы"")"),"нет нормы")</f>
        <v>нет нормы</v>
      </c>
      <c r="Q107" s="24" t="str">
        <f t="shared" si="1"/>
        <v>нет</v>
      </c>
      <c r="R107" s="29"/>
      <c r="S107" s="29"/>
      <c r="T107" s="26" t="str">
        <f t="shared" si="4"/>
        <v>#DIV/0!</v>
      </c>
      <c r="U107" s="29"/>
      <c r="V107" s="42"/>
      <c r="W107" s="29"/>
    </row>
    <row r="108" ht="15.75" customHeight="1">
      <c r="A108" s="29"/>
      <c r="B108" s="16"/>
      <c r="C108" s="29"/>
      <c r="D108" s="35"/>
      <c r="E108" s="18" t="s">
        <v>137</v>
      </c>
      <c r="F108" s="29"/>
      <c r="G108" s="19"/>
      <c r="H108" s="41"/>
      <c r="I108" s="25"/>
      <c r="J108" s="25"/>
      <c r="K108" s="41"/>
      <c r="L108" s="35"/>
      <c r="M108" s="35"/>
      <c r="N108" s="35"/>
      <c r="O108" s="26" t="str">
        <f t="shared" si="6"/>
        <v>#DIV/0!</v>
      </c>
      <c r="P108" s="23" t="str">
        <f>IFERROR(__xludf.DUMMYFUNCTION("IFERROR(IFS(O108="""","""",O108&lt;&gt;"""",FILTER('Нормативные показатели (рабочая'!$G:$G,'Нормативные показатели (рабочая'!$F:$F=$C108,'Нормативные показатели (рабочая'!$B:$B&lt;=$E108,'Нормативные показатели (рабочая'!$C:$C&gt;=$E108,'Нормативные показатели (рабоч"&amp;"ая'!$E:$E=$K108)),""нет нормы"")"),"нет нормы")</f>
        <v>нет нормы</v>
      </c>
      <c r="Q108" s="24" t="str">
        <f t="shared" si="1"/>
        <v>нет</v>
      </c>
      <c r="R108" s="29"/>
      <c r="S108" s="29"/>
      <c r="T108" s="26" t="str">
        <f t="shared" si="4"/>
        <v>#DIV/0!</v>
      </c>
      <c r="U108" s="29"/>
      <c r="V108" s="42"/>
      <c r="W108" s="29"/>
    </row>
    <row r="109" ht="15.75" customHeight="1">
      <c r="A109" s="29"/>
      <c r="B109" s="16"/>
      <c r="C109" s="29"/>
      <c r="D109" s="35"/>
      <c r="E109" s="18" t="s">
        <v>137</v>
      </c>
      <c r="F109" s="29"/>
      <c r="G109" s="19"/>
      <c r="H109" s="41"/>
      <c r="I109" s="25"/>
      <c r="J109" s="25"/>
      <c r="K109" s="41"/>
      <c r="L109" s="35"/>
      <c r="M109" s="35"/>
      <c r="N109" s="35"/>
      <c r="O109" s="26" t="str">
        <f t="shared" si="6"/>
        <v>#DIV/0!</v>
      </c>
      <c r="P109" s="23" t="str">
        <f>IFERROR(__xludf.DUMMYFUNCTION("IFERROR(IFS(O109="""","""",O109&lt;&gt;"""",FILTER('Нормативные показатели (рабочая'!$G:$G,'Нормативные показатели (рабочая'!$F:$F=$C109,'Нормативные показатели (рабочая'!$B:$B&lt;=$E109,'Нормативные показатели (рабочая'!$C:$C&gt;=$E109,'Нормативные показатели (рабоч"&amp;"ая'!$E:$E=$K109)),""нет нормы"")"),"нет нормы")</f>
        <v>нет нормы</v>
      </c>
      <c r="Q109" s="24" t="str">
        <f t="shared" si="1"/>
        <v>нет</v>
      </c>
      <c r="R109" s="29"/>
      <c r="S109" s="29"/>
      <c r="T109" s="26" t="str">
        <f t="shared" si="4"/>
        <v>#DIV/0!</v>
      </c>
      <c r="U109" s="29"/>
      <c r="V109" s="42"/>
      <c r="W109" s="29"/>
    </row>
    <row r="110" ht="15.75" customHeight="1">
      <c r="A110" s="29"/>
      <c r="B110" s="16"/>
      <c r="C110" s="29"/>
      <c r="D110" s="35"/>
      <c r="E110" s="18" t="s">
        <v>137</v>
      </c>
      <c r="F110" s="29"/>
      <c r="G110" s="19"/>
      <c r="H110" s="41"/>
      <c r="I110" s="25"/>
      <c r="J110" s="25"/>
      <c r="K110" s="41"/>
      <c r="L110" s="35"/>
      <c r="M110" s="35"/>
      <c r="N110" s="35"/>
      <c r="O110" s="26"/>
      <c r="P110" s="23" t="str">
        <f>IFERROR(__xludf.DUMMYFUNCTION("IFERROR(IFS(O110="""","""",O110&lt;&gt;"""",FILTER('Нормативные показатели (рабочая'!$G:$G,'Нормативные показатели (рабочая'!$F:$F=$C110,'Нормативные показатели (рабочая'!$B:$B&lt;=$E110,'Нормативные показатели (рабочая'!$C:$C&gt;=$E110,'Нормативные показатели (рабоч"&amp;"ая'!$E:$E=$K110)),""нет нормы"")"),"")</f>
        <v/>
      </c>
      <c r="Q110" s="24" t="str">
        <f t="shared" si="1"/>
        <v/>
      </c>
      <c r="R110" s="29"/>
      <c r="S110" s="29"/>
      <c r="T110" s="43"/>
      <c r="U110" s="29"/>
      <c r="V110" s="42"/>
      <c r="W110" s="29"/>
    </row>
    <row r="111" ht="15.75" customHeight="1">
      <c r="A111" s="29"/>
      <c r="B111" s="16"/>
      <c r="C111" s="29"/>
      <c r="D111" s="35"/>
      <c r="E111" s="18" t="s">
        <v>137</v>
      </c>
      <c r="F111" s="29"/>
      <c r="G111" s="19"/>
      <c r="H111" s="41"/>
      <c r="I111" s="25"/>
      <c r="J111" s="25"/>
      <c r="K111" s="41"/>
      <c r="L111" s="35"/>
      <c r="M111" s="35"/>
      <c r="N111" s="35"/>
      <c r="O111" s="26"/>
      <c r="P111" s="23"/>
      <c r="Q111" s="24" t="str">
        <f t="shared" si="1"/>
        <v/>
      </c>
      <c r="R111" s="29"/>
      <c r="S111" s="29"/>
      <c r="T111" s="43"/>
      <c r="U111" s="29"/>
      <c r="V111" s="42"/>
      <c r="W111" s="29"/>
    </row>
    <row r="112" ht="15.75" customHeight="1">
      <c r="A112" s="29"/>
      <c r="B112" s="16"/>
      <c r="C112" s="29"/>
      <c r="D112" s="35"/>
      <c r="E112" s="18" t="s">
        <v>137</v>
      </c>
      <c r="F112" s="29"/>
      <c r="G112" s="19"/>
      <c r="H112" s="41"/>
      <c r="I112" s="25"/>
      <c r="J112" s="25"/>
      <c r="K112" s="41"/>
      <c r="L112" s="35"/>
      <c r="M112" s="35"/>
      <c r="N112" s="35"/>
      <c r="O112" s="26"/>
      <c r="P112" s="23"/>
      <c r="Q112" s="24" t="str">
        <f t="shared" si="1"/>
        <v/>
      </c>
      <c r="R112" s="29"/>
      <c r="S112" s="29"/>
      <c r="T112" s="43"/>
      <c r="U112" s="29"/>
      <c r="V112" s="42"/>
      <c r="W112" s="29"/>
    </row>
    <row r="113" ht="15.75" customHeight="1">
      <c r="A113" s="29"/>
      <c r="B113" s="16"/>
      <c r="C113" s="29"/>
      <c r="D113" s="35"/>
      <c r="E113" s="18" t="s">
        <v>137</v>
      </c>
      <c r="F113" s="29"/>
      <c r="G113" s="19"/>
      <c r="H113" s="41"/>
      <c r="I113" s="25"/>
      <c r="J113" s="25"/>
      <c r="K113" s="41"/>
      <c r="L113" s="35"/>
      <c r="M113" s="35"/>
      <c r="N113" s="35"/>
      <c r="O113" s="26"/>
      <c r="P113" s="23"/>
      <c r="Q113" s="24" t="str">
        <f t="shared" si="1"/>
        <v/>
      </c>
      <c r="R113" s="29"/>
      <c r="S113" s="29"/>
      <c r="T113" s="43"/>
      <c r="U113" s="29"/>
      <c r="V113" s="42"/>
      <c r="W113" s="29"/>
    </row>
    <row r="114" ht="15.75" customHeight="1">
      <c r="A114" s="29"/>
      <c r="B114" s="16"/>
      <c r="C114" s="29"/>
      <c r="D114" s="35"/>
      <c r="E114" s="18" t="s">
        <v>137</v>
      </c>
      <c r="F114" s="29"/>
      <c r="G114" s="19"/>
      <c r="H114" s="41"/>
      <c r="I114" s="25"/>
      <c r="J114" s="25"/>
      <c r="K114" s="41"/>
      <c r="L114" s="35"/>
      <c r="M114" s="35"/>
      <c r="N114" s="35"/>
      <c r="O114" s="26"/>
      <c r="P114" s="23"/>
      <c r="Q114" s="24" t="str">
        <f t="shared" si="1"/>
        <v/>
      </c>
      <c r="R114" s="29"/>
      <c r="S114" s="29"/>
      <c r="T114" s="43"/>
      <c r="U114" s="29"/>
      <c r="V114" s="42"/>
      <c r="W114" s="29"/>
    </row>
    <row r="115" ht="15.75" customHeight="1">
      <c r="A115" s="29"/>
      <c r="B115" s="16"/>
      <c r="C115" s="29"/>
      <c r="D115" s="35"/>
      <c r="E115" s="18" t="s">
        <v>137</v>
      </c>
      <c r="F115" s="29"/>
      <c r="G115" s="19"/>
      <c r="H115" s="41"/>
      <c r="I115" s="25"/>
      <c r="J115" s="25"/>
      <c r="K115" s="41"/>
      <c r="L115" s="35"/>
      <c r="M115" s="35"/>
      <c r="N115" s="35"/>
      <c r="O115" s="26"/>
      <c r="P115" s="23"/>
      <c r="Q115" s="24" t="str">
        <f t="shared" si="1"/>
        <v/>
      </c>
      <c r="R115" s="29"/>
      <c r="S115" s="29"/>
      <c r="T115" s="43"/>
      <c r="U115" s="29"/>
      <c r="V115" s="42"/>
      <c r="W115" s="29"/>
    </row>
    <row r="116" ht="15.75" customHeight="1">
      <c r="A116" s="29"/>
      <c r="B116" s="16"/>
      <c r="C116" s="29"/>
      <c r="D116" s="35"/>
      <c r="E116" s="18" t="s">
        <v>137</v>
      </c>
      <c r="F116" s="29"/>
      <c r="G116" s="19"/>
      <c r="H116" s="41"/>
      <c r="I116" s="25"/>
      <c r="J116" s="25"/>
      <c r="K116" s="41"/>
      <c r="L116" s="35"/>
      <c r="M116" s="35"/>
      <c r="N116" s="35"/>
      <c r="O116" s="26"/>
      <c r="P116" s="23"/>
      <c r="Q116" s="24" t="str">
        <f t="shared" si="1"/>
        <v/>
      </c>
      <c r="R116" s="29"/>
      <c r="S116" s="29"/>
      <c r="T116" s="43"/>
      <c r="U116" s="29"/>
      <c r="V116" s="42"/>
      <c r="W116" s="29"/>
    </row>
    <row r="117" ht="15.75" customHeight="1">
      <c r="A117" s="29"/>
      <c r="B117" s="16"/>
      <c r="C117" s="29"/>
      <c r="D117" s="35"/>
      <c r="E117" s="18" t="s">
        <v>137</v>
      </c>
      <c r="F117" s="29"/>
      <c r="G117" s="19"/>
      <c r="H117" s="41"/>
      <c r="I117" s="25"/>
      <c r="J117" s="25"/>
      <c r="K117" s="41"/>
      <c r="L117" s="35"/>
      <c r="M117" s="35"/>
      <c r="N117" s="35"/>
      <c r="O117" s="26"/>
      <c r="P117" s="23"/>
      <c r="Q117" s="24" t="str">
        <f t="shared" si="1"/>
        <v/>
      </c>
      <c r="R117" s="29"/>
      <c r="S117" s="29"/>
      <c r="T117" s="43"/>
      <c r="U117" s="29"/>
      <c r="V117" s="42"/>
      <c r="W117" s="29"/>
    </row>
    <row r="118" ht="15.75" customHeight="1">
      <c r="A118" s="29"/>
      <c r="B118" s="16"/>
      <c r="C118" s="29"/>
      <c r="D118" s="35"/>
      <c r="E118" s="18" t="s">
        <v>137</v>
      </c>
      <c r="F118" s="29"/>
      <c r="G118" s="19"/>
      <c r="H118" s="41"/>
      <c r="I118" s="25"/>
      <c r="J118" s="25"/>
      <c r="K118" s="41"/>
      <c r="L118" s="35"/>
      <c r="M118" s="35"/>
      <c r="N118" s="35"/>
      <c r="O118" s="26"/>
      <c r="P118" s="23"/>
      <c r="Q118" s="24" t="str">
        <f t="shared" si="1"/>
        <v/>
      </c>
      <c r="R118" s="29"/>
      <c r="S118" s="29"/>
      <c r="T118" s="43"/>
      <c r="U118" s="29"/>
      <c r="V118" s="42"/>
      <c r="W118" s="29"/>
    </row>
    <row r="119" ht="15.75" customHeight="1">
      <c r="A119" s="29"/>
      <c r="B119" s="16"/>
      <c r="C119" s="29"/>
      <c r="D119" s="35"/>
      <c r="E119" s="18" t="s">
        <v>137</v>
      </c>
      <c r="F119" s="29"/>
      <c r="G119" s="19"/>
      <c r="H119" s="41"/>
      <c r="I119" s="25"/>
      <c r="J119" s="25"/>
      <c r="K119" s="41"/>
      <c r="L119" s="35"/>
      <c r="M119" s="35"/>
      <c r="N119" s="35"/>
      <c r="O119" s="26"/>
      <c r="P119" s="23"/>
      <c r="Q119" s="24" t="str">
        <f t="shared" si="1"/>
        <v/>
      </c>
      <c r="R119" s="29"/>
      <c r="S119" s="29"/>
      <c r="T119" s="43"/>
      <c r="U119" s="29"/>
      <c r="V119" s="42"/>
      <c r="W119" s="29"/>
    </row>
    <row r="120" ht="15.75" customHeight="1">
      <c r="A120" s="29"/>
      <c r="B120" s="16"/>
      <c r="C120" s="29"/>
      <c r="D120" s="35"/>
      <c r="E120" s="18" t="s">
        <v>137</v>
      </c>
      <c r="F120" s="29"/>
      <c r="G120" s="19"/>
      <c r="H120" s="41"/>
      <c r="I120" s="25"/>
      <c r="J120" s="25"/>
      <c r="K120" s="41"/>
      <c r="L120" s="35"/>
      <c r="M120" s="35"/>
      <c r="N120" s="35"/>
      <c r="O120" s="26"/>
      <c r="P120" s="23"/>
      <c r="Q120" s="24" t="str">
        <f t="shared" si="1"/>
        <v/>
      </c>
      <c r="R120" s="29"/>
      <c r="S120" s="29"/>
      <c r="T120" s="43"/>
      <c r="U120" s="29"/>
      <c r="V120" s="42"/>
      <c r="W120" s="29"/>
    </row>
    <row r="121" ht="15.75" customHeight="1">
      <c r="A121" s="29"/>
      <c r="B121" s="16"/>
      <c r="C121" s="29"/>
      <c r="D121" s="35"/>
      <c r="E121" s="18" t="s">
        <v>137</v>
      </c>
      <c r="F121" s="29"/>
      <c r="G121" s="19"/>
      <c r="H121" s="41"/>
      <c r="I121" s="25"/>
      <c r="J121" s="25"/>
      <c r="K121" s="41"/>
      <c r="L121" s="35"/>
      <c r="M121" s="35"/>
      <c r="N121" s="35"/>
      <c r="O121" s="26"/>
      <c r="P121" s="23"/>
      <c r="Q121" s="24" t="str">
        <f t="shared" si="1"/>
        <v/>
      </c>
      <c r="R121" s="29"/>
      <c r="S121" s="29"/>
      <c r="T121" s="43"/>
      <c r="U121" s="29"/>
      <c r="V121" s="42"/>
      <c r="W121" s="29"/>
    </row>
    <row r="122" ht="15.75" customHeight="1">
      <c r="A122" s="29"/>
      <c r="B122" s="16"/>
      <c r="C122" s="29"/>
      <c r="D122" s="35"/>
      <c r="E122" s="18" t="s">
        <v>137</v>
      </c>
      <c r="F122" s="29"/>
      <c r="G122" s="19"/>
      <c r="H122" s="41"/>
      <c r="I122" s="25"/>
      <c r="J122" s="25"/>
      <c r="K122" s="41"/>
      <c r="L122" s="35"/>
      <c r="M122" s="35"/>
      <c r="N122" s="35"/>
      <c r="O122" s="26"/>
      <c r="P122" s="23"/>
      <c r="Q122" s="24" t="str">
        <f t="shared" si="1"/>
        <v/>
      </c>
      <c r="R122" s="29"/>
      <c r="S122" s="29"/>
      <c r="T122" s="43"/>
      <c r="U122" s="29"/>
      <c r="V122" s="42"/>
      <c r="W122" s="29"/>
    </row>
    <row r="123" ht="15.75" customHeight="1">
      <c r="A123" s="29"/>
      <c r="B123" s="16"/>
      <c r="C123" s="29"/>
      <c r="D123" s="35"/>
      <c r="E123" s="18" t="s">
        <v>137</v>
      </c>
      <c r="F123" s="29"/>
      <c r="G123" s="19"/>
      <c r="H123" s="41"/>
      <c r="I123" s="25"/>
      <c r="J123" s="25"/>
      <c r="K123" s="41"/>
      <c r="L123" s="35"/>
      <c r="M123" s="35"/>
      <c r="N123" s="35"/>
      <c r="O123" s="26"/>
      <c r="P123" s="23"/>
      <c r="Q123" s="24" t="str">
        <f t="shared" si="1"/>
        <v/>
      </c>
      <c r="R123" s="29"/>
      <c r="S123" s="29"/>
      <c r="T123" s="43"/>
      <c r="U123" s="29"/>
      <c r="V123" s="42"/>
      <c r="W123" s="29"/>
    </row>
    <row r="124" ht="15.75" customHeight="1">
      <c r="A124" s="29"/>
      <c r="B124" s="16"/>
      <c r="C124" s="29"/>
      <c r="D124" s="35"/>
      <c r="E124" s="18" t="s">
        <v>137</v>
      </c>
      <c r="F124" s="29"/>
      <c r="G124" s="19"/>
      <c r="H124" s="41"/>
      <c r="I124" s="25"/>
      <c r="J124" s="25"/>
      <c r="K124" s="41"/>
      <c r="L124" s="35"/>
      <c r="M124" s="35"/>
      <c r="N124" s="35"/>
      <c r="O124" s="26"/>
      <c r="P124" s="23"/>
      <c r="Q124" s="24" t="str">
        <f t="shared" si="1"/>
        <v/>
      </c>
      <c r="R124" s="29"/>
      <c r="S124" s="29"/>
      <c r="T124" s="43"/>
      <c r="U124" s="29"/>
      <c r="V124" s="42"/>
      <c r="W124" s="29"/>
    </row>
    <row r="125" ht="15.75" customHeight="1">
      <c r="A125" s="29"/>
      <c r="B125" s="16"/>
      <c r="C125" s="29"/>
      <c r="D125" s="35"/>
      <c r="E125" s="18" t="s">
        <v>137</v>
      </c>
      <c r="F125" s="29"/>
      <c r="G125" s="19"/>
      <c r="H125" s="41"/>
      <c r="I125" s="25"/>
      <c r="J125" s="25"/>
      <c r="K125" s="41"/>
      <c r="L125" s="35"/>
      <c r="M125" s="35"/>
      <c r="N125" s="35"/>
      <c r="O125" s="26"/>
      <c r="P125" s="23"/>
      <c r="Q125" s="24" t="str">
        <f t="shared" si="1"/>
        <v/>
      </c>
      <c r="R125" s="29"/>
      <c r="S125" s="29"/>
      <c r="T125" s="43"/>
      <c r="U125" s="29"/>
      <c r="V125" s="42"/>
      <c r="W125" s="29"/>
    </row>
    <row r="126" ht="15.75" customHeight="1">
      <c r="A126" s="29"/>
      <c r="B126" s="16"/>
      <c r="C126" s="29"/>
      <c r="D126" s="35"/>
      <c r="E126" s="18" t="s">
        <v>137</v>
      </c>
      <c r="F126" s="29"/>
      <c r="G126" s="19"/>
      <c r="H126" s="41"/>
      <c r="I126" s="25"/>
      <c r="J126" s="25"/>
      <c r="K126" s="41"/>
      <c r="L126" s="35"/>
      <c r="M126" s="35"/>
      <c r="N126" s="35"/>
      <c r="O126" s="26"/>
      <c r="P126" s="23"/>
      <c r="Q126" s="24" t="str">
        <f t="shared" si="1"/>
        <v/>
      </c>
      <c r="R126" s="29"/>
      <c r="S126" s="29"/>
      <c r="T126" s="43"/>
      <c r="U126" s="29"/>
      <c r="V126" s="42"/>
      <c r="W126" s="29"/>
    </row>
    <row r="127" ht="15.75" customHeight="1">
      <c r="A127" s="29"/>
      <c r="B127" s="16"/>
      <c r="C127" s="29"/>
      <c r="D127" s="35"/>
      <c r="E127" s="18" t="s">
        <v>137</v>
      </c>
      <c r="F127" s="29"/>
      <c r="G127" s="19"/>
      <c r="H127" s="41"/>
      <c r="I127" s="25"/>
      <c r="J127" s="25"/>
      <c r="K127" s="41"/>
      <c r="L127" s="35"/>
      <c r="M127" s="35"/>
      <c r="N127" s="35"/>
      <c r="O127" s="26"/>
      <c r="P127" s="23"/>
      <c r="Q127" s="24" t="str">
        <f t="shared" si="1"/>
        <v/>
      </c>
      <c r="R127" s="29"/>
      <c r="S127" s="29"/>
      <c r="T127" s="43"/>
      <c r="U127" s="29"/>
      <c r="V127" s="42"/>
      <c r="W127" s="29"/>
    </row>
    <row r="128" ht="15.75" customHeight="1">
      <c r="A128" s="29"/>
      <c r="B128" s="16"/>
      <c r="C128" s="29"/>
      <c r="D128" s="35"/>
      <c r="E128" s="18" t="s">
        <v>137</v>
      </c>
      <c r="F128" s="29"/>
      <c r="G128" s="19"/>
      <c r="H128" s="41"/>
      <c r="I128" s="25"/>
      <c r="J128" s="25"/>
      <c r="K128" s="41"/>
      <c r="L128" s="35"/>
      <c r="M128" s="35"/>
      <c r="N128" s="35"/>
      <c r="O128" s="26"/>
      <c r="P128" s="23"/>
      <c r="Q128" s="24" t="str">
        <f t="shared" si="1"/>
        <v/>
      </c>
      <c r="R128" s="29"/>
      <c r="S128" s="29"/>
      <c r="T128" s="43"/>
      <c r="U128" s="29"/>
      <c r="V128" s="42"/>
      <c r="W128" s="29"/>
    </row>
    <row r="129" ht="15.75" customHeight="1">
      <c r="A129" s="29"/>
      <c r="B129" s="16"/>
      <c r="C129" s="29"/>
      <c r="D129" s="35"/>
      <c r="E129" s="18" t="s">
        <v>137</v>
      </c>
      <c r="F129" s="29"/>
      <c r="G129" s="19"/>
      <c r="H129" s="41"/>
      <c r="I129" s="25"/>
      <c r="J129" s="25"/>
      <c r="K129" s="41"/>
      <c r="L129" s="35"/>
      <c r="M129" s="35"/>
      <c r="N129" s="35"/>
      <c r="O129" s="26"/>
      <c r="P129" s="23"/>
      <c r="Q129" s="24" t="str">
        <f t="shared" si="1"/>
        <v/>
      </c>
      <c r="R129" s="29"/>
      <c r="S129" s="29"/>
      <c r="T129" s="43"/>
      <c r="U129" s="29"/>
      <c r="V129" s="42"/>
      <c r="W129" s="29"/>
    </row>
    <row r="130" ht="15.75" customHeight="1">
      <c r="A130" s="29"/>
      <c r="B130" s="16"/>
      <c r="C130" s="29"/>
      <c r="D130" s="35"/>
      <c r="E130" s="18" t="s">
        <v>137</v>
      </c>
      <c r="F130" s="29"/>
      <c r="G130" s="19"/>
      <c r="H130" s="41"/>
      <c r="I130" s="25"/>
      <c r="J130" s="25"/>
      <c r="K130" s="41"/>
      <c r="L130" s="35"/>
      <c r="M130" s="35"/>
      <c r="N130" s="35"/>
      <c r="O130" s="26"/>
      <c r="P130" s="23"/>
      <c r="Q130" s="24" t="str">
        <f t="shared" si="1"/>
        <v/>
      </c>
      <c r="R130" s="29"/>
      <c r="S130" s="29"/>
      <c r="T130" s="43"/>
      <c r="U130" s="29"/>
      <c r="V130" s="42"/>
      <c r="W130" s="29"/>
    </row>
    <row r="131" ht="15.75" customHeight="1">
      <c r="A131" s="29"/>
      <c r="B131" s="16"/>
      <c r="C131" s="29"/>
      <c r="D131" s="35"/>
      <c r="E131" s="18" t="s">
        <v>137</v>
      </c>
      <c r="F131" s="29"/>
      <c r="G131" s="19"/>
      <c r="H131" s="41"/>
      <c r="I131" s="25"/>
      <c r="J131" s="25"/>
      <c r="K131" s="41"/>
      <c r="L131" s="35"/>
      <c r="M131" s="35"/>
      <c r="N131" s="35"/>
      <c r="O131" s="26"/>
      <c r="P131" s="23"/>
      <c r="Q131" s="24" t="str">
        <f t="shared" si="1"/>
        <v/>
      </c>
      <c r="R131" s="29"/>
      <c r="S131" s="29"/>
      <c r="T131" s="43"/>
      <c r="U131" s="29"/>
      <c r="V131" s="42"/>
      <c r="W131" s="29"/>
    </row>
    <row r="132" ht="15.75" customHeight="1">
      <c r="A132" s="29"/>
      <c r="B132" s="16"/>
      <c r="C132" s="29"/>
      <c r="D132" s="35"/>
      <c r="E132" s="18" t="s">
        <v>137</v>
      </c>
      <c r="F132" s="29"/>
      <c r="G132" s="19"/>
      <c r="H132" s="41"/>
      <c r="I132" s="25"/>
      <c r="J132" s="25"/>
      <c r="K132" s="41"/>
      <c r="L132" s="35"/>
      <c r="M132" s="35"/>
      <c r="N132" s="35"/>
      <c r="O132" s="26"/>
      <c r="P132" s="23"/>
      <c r="Q132" s="24" t="str">
        <f t="shared" si="1"/>
        <v/>
      </c>
      <c r="R132" s="29"/>
      <c r="S132" s="29"/>
      <c r="T132" s="43"/>
      <c r="U132" s="29"/>
      <c r="V132" s="42"/>
      <c r="W132" s="29"/>
    </row>
    <row r="133" ht="15.75" customHeight="1">
      <c r="A133" s="29"/>
      <c r="B133" s="16"/>
      <c r="C133" s="29"/>
      <c r="D133" s="35"/>
      <c r="E133" s="18" t="s">
        <v>137</v>
      </c>
      <c r="F133" s="29"/>
      <c r="G133" s="19"/>
      <c r="H133" s="41"/>
      <c r="I133" s="25"/>
      <c r="J133" s="25"/>
      <c r="K133" s="41"/>
      <c r="L133" s="35"/>
      <c r="M133" s="35"/>
      <c r="N133" s="35"/>
      <c r="O133" s="26"/>
      <c r="P133" s="23"/>
      <c r="Q133" s="24" t="str">
        <f t="shared" si="1"/>
        <v/>
      </c>
      <c r="R133" s="29"/>
      <c r="S133" s="29"/>
      <c r="T133" s="43"/>
      <c r="U133" s="29"/>
      <c r="V133" s="42"/>
      <c r="W133" s="29"/>
    </row>
    <row r="134" ht="15.75" customHeight="1">
      <c r="A134" s="29"/>
      <c r="B134" s="16"/>
      <c r="C134" s="29"/>
      <c r="D134" s="35"/>
      <c r="E134" s="18" t="s">
        <v>137</v>
      </c>
      <c r="F134" s="29"/>
      <c r="G134" s="19"/>
      <c r="H134" s="41"/>
      <c r="I134" s="25"/>
      <c r="J134" s="25"/>
      <c r="K134" s="41"/>
      <c r="L134" s="35"/>
      <c r="M134" s="35"/>
      <c r="N134" s="35"/>
      <c r="O134" s="26"/>
      <c r="P134" s="23"/>
      <c r="Q134" s="24" t="str">
        <f t="shared" si="1"/>
        <v/>
      </c>
      <c r="R134" s="29"/>
      <c r="S134" s="29"/>
      <c r="T134" s="43"/>
      <c r="U134" s="29"/>
      <c r="V134" s="42"/>
      <c r="W134" s="29"/>
    </row>
    <row r="135" ht="15.75" customHeight="1">
      <c r="A135" s="29"/>
      <c r="B135" s="16"/>
      <c r="C135" s="29"/>
      <c r="D135" s="35"/>
      <c r="E135" s="18" t="s">
        <v>137</v>
      </c>
      <c r="F135" s="29"/>
      <c r="G135" s="19"/>
      <c r="H135" s="41"/>
      <c r="I135" s="25"/>
      <c r="J135" s="25"/>
      <c r="K135" s="41"/>
      <c r="L135" s="35"/>
      <c r="M135" s="35"/>
      <c r="N135" s="35"/>
      <c r="O135" s="26"/>
      <c r="P135" s="23"/>
      <c r="Q135" s="24" t="str">
        <f t="shared" si="1"/>
        <v/>
      </c>
      <c r="R135" s="29"/>
      <c r="S135" s="29"/>
      <c r="T135" s="43"/>
      <c r="U135" s="29"/>
      <c r="V135" s="42"/>
      <c r="W135" s="29"/>
    </row>
    <row r="136" ht="15.75" customHeight="1">
      <c r="A136" s="29"/>
      <c r="B136" s="16"/>
      <c r="C136" s="29"/>
      <c r="D136" s="35"/>
      <c r="E136" s="18" t="s">
        <v>137</v>
      </c>
      <c r="F136" s="29"/>
      <c r="G136" s="19"/>
      <c r="H136" s="41"/>
      <c r="I136" s="25"/>
      <c r="J136" s="25"/>
      <c r="K136" s="41"/>
      <c r="L136" s="35"/>
      <c r="M136" s="35"/>
      <c r="N136" s="35"/>
      <c r="O136" s="26"/>
      <c r="P136" s="23"/>
      <c r="Q136" s="24" t="str">
        <f t="shared" si="1"/>
        <v/>
      </c>
      <c r="R136" s="29"/>
      <c r="S136" s="29"/>
      <c r="T136" s="43"/>
      <c r="U136" s="29"/>
      <c r="V136" s="42"/>
      <c r="W136" s="29"/>
    </row>
    <row r="137" ht="15.75" customHeight="1">
      <c r="A137" s="29"/>
      <c r="B137" s="16"/>
      <c r="C137" s="29"/>
      <c r="D137" s="35"/>
      <c r="E137" s="18" t="s">
        <v>137</v>
      </c>
      <c r="F137" s="29"/>
      <c r="G137" s="19"/>
      <c r="H137" s="41"/>
      <c r="I137" s="25"/>
      <c r="J137" s="25"/>
      <c r="K137" s="41"/>
      <c r="L137" s="35"/>
      <c r="M137" s="35"/>
      <c r="N137" s="35"/>
      <c r="O137" s="26"/>
      <c r="P137" s="23"/>
      <c r="Q137" s="24" t="str">
        <f t="shared" si="1"/>
        <v/>
      </c>
      <c r="R137" s="29"/>
      <c r="S137" s="29"/>
      <c r="T137" s="43"/>
      <c r="U137" s="29"/>
      <c r="V137" s="42"/>
      <c r="W137" s="29"/>
    </row>
    <row r="138" ht="15.75" customHeight="1">
      <c r="A138" s="29"/>
      <c r="B138" s="16"/>
      <c r="C138" s="29"/>
      <c r="D138" s="35"/>
      <c r="E138" s="18" t="s">
        <v>137</v>
      </c>
      <c r="F138" s="29"/>
      <c r="G138" s="19"/>
      <c r="H138" s="41"/>
      <c r="I138" s="25"/>
      <c r="J138" s="25"/>
      <c r="K138" s="41"/>
      <c r="L138" s="35"/>
      <c r="M138" s="35"/>
      <c r="N138" s="35"/>
      <c r="O138" s="26"/>
      <c r="P138" s="23"/>
      <c r="Q138" s="24" t="str">
        <f t="shared" si="1"/>
        <v/>
      </c>
      <c r="R138" s="29"/>
      <c r="S138" s="29"/>
      <c r="T138" s="43"/>
      <c r="U138" s="29"/>
      <c r="V138" s="42"/>
      <c r="W138" s="29"/>
    </row>
    <row r="139" ht="15.75" customHeight="1">
      <c r="A139" s="29"/>
      <c r="B139" s="16"/>
      <c r="C139" s="29"/>
      <c r="D139" s="35"/>
      <c r="E139" s="18" t="s">
        <v>137</v>
      </c>
      <c r="F139" s="29"/>
      <c r="G139" s="19"/>
      <c r="H139" s="41"/>
      <c r="I139" s="25"/>
      <c r="J139" s="25"/>
      <c r="K139" s="41"/>
      <c r="L139" s="35"/>
      <c r="M139" s="35"/>
      <c r="N139" s="35"/>
      <c r="O139" s="26"/>
      <c r="P139" s="23"/>
      <c r="Q139" s="24" t="str">
        <f t="shared" si="1"/>
        <v/>
      </c>
      <c r="R139" s="29"/>
      <c r="S139" s="29"/>
      <c r="T139" s="43"/>
      <c r="U139" s="29"/>
      <c r="V139" s="42"/>
      <c r="W139" s="29"/>
    </row>
    <row r="140" ht="15.75" customHeight="1">
      <c r="A140" s="29"/>
      <c r="B140" s="16"/>
      <c r="C140" s="29"/>
      <c r="D140" s="35"/>
      <c r="E140" s="18" t="s">
        <v>137</v>
      </c>
      <c r="F140" s="29"/>
      <c r="G140" s="19"/>
      <c r="H140" s="41"/>
      <c r="I140" s="25"/>
      <c r="J140" s="25"/>
      <c r="K140" s="41"/>
      <c r="L140" s="35"/>
      <c r="M140" s="35"/>
      <c r="N140" s="35"/>
      <c r="O140" s="26"/>
      <c r="P140" s="23"/>
      <c r="Q140" s="24" t="str">
        <f t="shared" si="1"/>
        <v/>
      </c>
      <c r="R140" s="29"/>
      <c r="S140" s="29"/>
      <c r="T140" s="43"/>
      <c r="U140" s="29"/>
      <c r="V140" s="42"/>
      <c r="W140" s="29"/>
    </row>
    <row r="141" ht="15.75" customHeight="1">
      <c r="A141" s="29"/>
      <c r="B141" s="16"/>
      <c r="C141" s="29"/>
      <c r="D141" s="35"/>
      <c r="E141" s="18" t="s">
        <v>137</v>
      </c>
      <c r="F141" s="29"/>
      <c r="G141" s="19"/>
      <c r="H141" s="41"/>
      <c r="I141" s="25"/>
      <c r="J141" s="25"/>
      <c r="K141" s="41"/>
      <c r="L141" s="35"/>
      <c r="M141" s="35"/>
      <c r="N141" s="35"/>
      <c r="O141" s="26"/>
      <c r="P141" s="23"/>
      <c r="Q141" s="24" t="str">
        <f t="shared" si="1"/>
        <v/>
      </c>
      <c r="R141" s="29"/>
      <c r="S141" s="29"/>
      <c r="T141" s="43"/>
      <c r="U141" s="29"/>
      <c r="V141" s="42"/>
      <c r="W141" s="29"/>
    </row>
    <row r="142" ht="15.75" customHeight="1">
      <c r="A142" s="29"/>
      <c r="B142" s="16"/>
      <c r="C142" s="29"/>
      <c r="D142" s="35"/>
      <c r="E142" s="18" t="s">
        <v>137</v>
      </c>
      <c r="F142" s="29"/>
      <c r="G142" s="19"/>
      <c r="H142" s="41"/>
      <c r="I142" s="25"/>
      <c r="J142" s="25"/>
      <c r="K142" s="41"/>
      <c r="L142" s="35"/>
      <c r="M142" s="35"/>
      <c r="N142" s="35"/>
      <c r="O142" s="26"/>
      <c r="P142" s="23"/>
      <c r="Q142" s="24" t="str">
        <f t="shared" si="1"/>
        <v/>
      </c>
      <c r="R142" s="29"/>
      <c r="S142" s="29"/>
      <c r="T142" s="43"/>
      <c r="U142" s="29"/>
      <c r="V142" s="42"/>
      <c r="W142" s="29"/>
    </row>
    <row r="143" ht="15.75" customHeight="1">
      <c r="A143" s="29"/>
      <c r="B143" s="16"/>
      <c r="C143" s="29"/>
      <c r="D143" s="35"/>
      <c r="E143" s="18" t="s">
        <v>137</v>
      </c>
      <c r="F143" s="29"/>
      <c r="G143" s="19"/>
      <c r="H143" s="41"/>
      <c r="I143" s="25"/>
      <c r="J143" s="25"/>
      <c r="K143" s="41"/>
      <c r="L143" s="35"/>
      <c r="M143" s="35"/>
      <c r="N143" s="35"/>
      <c r="O143" s="26"/>
      <c r="P143" s="23"/>
      <c r="Q143" s="24" t="str">
        <f t="shared" si="1"/>
        <v/>
      </c>
      <c r="R143" s="29"/>
      <c r="S143" s="29"/>
      <c r="T143" s="43"/>
      <c r="U143" s="29"/>
      <c r="V143" s="42"/>
      <c r="W143" s="29"/>
    </row>
    <row r="144" ht="15.75" customHeight="1">
      <c r="A144" s="29"/>
      <c r="B144" s="16"/>
      <c r="C144" s="29"/>
      <c r="D144" s="35"/>
      <c r="E144" s="18" t="s">
        <v>137</v>
      </c>
      <c r="F144" s="29"/>
      <c r="G144" s="19"/>
      <c r="H144" s="41"/>
      <c r="I144" s="25"/>
      <c r="J144" s="25"/>
      <c r="K144" s="41"/>
      <c r="L144" s="35"/>
      <c r="M144" s="35"/>
      <c r="N144" s="35"/>
      <c r="O144" s="26"/>
      <c r="P144" s="23"/>
      <c r="Q144" s="24" t="str">
        <f t="shared" si="1"/>
        <v/>
      </c>
      <c r="R144" s="29"/>
      <c r="S144" s="29"/>
      <c r="T144" s="43"/>
      <c r="U144" s="29"/>
      <c r="V144" s="42"/>
      <c r="W144" s="29"/>
    </row>
    <row r="145" ht="15.75" customHeight="1">
      <c r="A145" s="29"/>
      <c r="B145" s="16"/>
      <c r="C145" s="29"/>
      <c r="D145" s="35"/>
      <c r="E145" s="18" t="s">
        <v>137</v>
      </c>
      <c r="F145" s="29"/>
      <c r="G145" s="19"/>
      <c r="H145" s="41"/>
      <c r="I145" s="25"/>
      <c r="J145" s="25"/>
      <c r="K145" s="41"/>
      <c r="L145" s="35"/>
      <c r="M145" s="35"/>
      <c r="N145" s="35"/>
      <c r="O145" s="26"/>
      <c r="P145" s="23"/>
      <c r="Q145" s="24" t="str">
        <f t="shared" si="1"/>
        <v/>
      </c>
      <c r="R145" s="29"/>
      <c r="S145" s="29"/>
      <c r="T145" s="43"/>
      <c r="U145" s="29"/>
      <c r="V145" s="42"/>
      <c r="W145" s="29"/>
    </row>
    <row r="146" ht="15.75" customHeight="1">
      <c r="A146" s="29"/>
      <c r="B146" s="16"/>
      <c r="C146" s="29"/>
      <c r="D146" s="35"/>
      <c r="E146" s="18" t="s">
        <v>137</v>
      </c>
      <c r="F146" s="29"/>
      <c r="G146" s="19"/>
      <c r="H146" s="41"/>
      <c r="I146" s="25"/>
      <c r="J146" s="25"/>
      <c r="K146" s="41"/>
      <c r="L146" s="35"/>
      <c r="M146" s="35"/>
      <c r="N146" s="35"/>
      <c r="O146" s="26"/>
      <c r="P146" s="23"/>
      <c r="Q146" s="24" t="str">
        <f t="shared" si="1"/>
        <v/>
      </c>
      <c r="R146" s="29"/>
      <c r="S146" s="29"/>
      <c r="T146" s="43"/>
      <c r="U146" s="29"/>
      <c r="V146" s="42"/>
      <c r="W146" s="29"/>
    </row>
    <row r="147" ht="15.75" customHeight="1">
      <c r="A147" s="29"/>
      <c r="B147" s="16"/>
      <c r="C147" s="29"/>
      <c r="D147" s="35"/>
      <c r="E147" s="18" t="s">
        <v>137</v>
      </c>
      <c r="F147" s="29"/>
      <c r="G147" s="19"/>
      <c r="H147" s="41"/>
      <c r="I147" s="25"/>
      <c r="J147" s="25"/>
      <c r="K147" s="41"/>
      <c r="L147" s="35"/>
      <c r="M147" s="35"/>
      <c r="N147" s="35"/>
      <c r="O147" s="26"/>
      <c r="P147" s="23"/>
      <c r="Q147" s="24" t="str">
        <f t="shared" si="1"/>
        <v/>
      </c>
      <c r="R147" s="29"/>
      <c r="S147" s="29"/>
      <c r="T147" s="43"/>
      <c r="U147" s="29"/>
      <c r="V147" s="42"/>
      <c r="W147" s="29"/>
    </row>
    <row r="148" ht="15.75" customHeight="1">
      <c r="A148" s="29"/>
      <c r="B148" s="16"/>
      <c r="C148" s="29"/>
      <c r="D148" s="35"/>
      <c r="E148" s="18" t="s">
        <v>137</v>
      </c>
      <c r="F148" s="29"/>
      <c r="G148" s="19"/>
      <c r="H148" s="41"/>
      <c r="I148" s="25"/>
      <c r="J148" s="25"/>
      <c r="K148" s="41"/>
      <c r="L148" s="35"/>
      <c r="M148" s="35"/>
      <c r="N148" s="35"/>
      <c r="O148" s="26"/>
      <c r="P148" s="23"/>
      <c r="Q148" s="24" t="str">
        <f t="shared" si="1"/>
        <v/>
      </c>
      <c r="R148" s="29"/>
      <c r="S148" s="29"/>
      <c r="T148" s="43"/>
      <c r="U148" s="29"/>
      <c r="V148" s="42"/>
      <c r="W148" s="29"/>
    </row>
    <row r="149" ht="15.75" customHeight="1">
      <c r="A149" s="29"/>
      <c r="B149" s="16"/>
      <c r="C149" s="29"/>
      <c r="D149" s="35"/>
      <c r="E149" s="18" t="s">
        <v>137</v>
      </c>
      <c r="F149" s="29"/>
      <c r="G149" s="19"/>
      <c r="H149" s="41"/>
      <c r="I149" s="25"/>
      <c r="J149" s="25"/>
      <c r="K149" s="41"/>
      <c r="L149" s="35"/>
      <c r="M149" s="35"/>
      <c r="N149" s="35"/>
      <c r="O149" s="26"/>
      <c r="P149" s="23"/>
      <c r="Q149" s="24" t="str">
        <f t="shared" si="1"/>
        <v/>
      </c>
      <c r="R149" s="29"/>
      <c r="S149" s="29"/>
      <c r="T149" s="43"/>
      <c r="U149" s="29"/>
      <c r="V149" s="42"/>
      <c r="W149" s="29"/>
    </row>
    <row r="150" ht="15.75" customHeight="1">
      <c r="A150" s="29"/>
      <c r="B150" s="16"/>
      <c r="C150" s="29"/>
      <c r="D150" s="35"/>
      <c r="E150" s="18" t="s">
        <v>137</v>
      </c>
      <c r="F150" s="29"/>
      <c r="G150" s="19"/>
      <c r="H150" s="41"/>
      <c r="I150" s="25"/>
      <c r="J150" s="25"/>
      <c r="K150" s="41"/>
      <c r="L150" s="35"/>
      <c r="M150" s="35"/>
      <c r="N150" s="35"/>
      <c r="O150" s="26"/>
      <c r="P150" s="23"/>
      <c r="Q150" s="24" t="str">
        <f t="shared" si="1"/>
        <v/>
      </c>
      <c r="R150" s="29"/>
      <c r="S150" s="29"/>
      <c r="T150" s="43"/>
      <c r="U150" s="29"/>
      <c r="V150" s="42"/>
      <c r="W150" s="29"/>
    </row>
    <row r="151" ht="15.75" customHeight="1">
      <c r="A151" s="29"/>
      <c r="B151" s="16"/>
      <c r="C151" s="29"/>
      <c r="D151" s="35"/>
      <c r="E151" s="18" t="s">
        <v>137</v>
      </c>
      <c r="F151" s="29"/>
      <c r="G151" s="19"/>
      <c r="H151" s="41"/>
      <c r="I151" s="25"/>
      <c r="J151" s="25"/>
      <c r="K151" s="41"/>
      <c r="L151" s="35"/>
      <c r="M151" s="35"/>
      <c r="N151" s="35"/>
      <c r="O151" s="26"/>
      <c r="P151" s="23"/>
      <c r="Q151" s="24" t="str">
        <f t="shared" si="1"/>
        <v/>
      </c>
      <c r="R151" s="29"/>
      <c r="S151" s="29"/>
      <c r="T151" s="43"/>
      <c r="U151" s="29"/>
      <c r="V151" s="42"/>
      <c r="W151" s="29"/>
    </row>
    <row r="152" ht="15.75" customHeight="1">
      <c r="A152" s="29"/>
      <c r="B152" s="16"/>
      <c r="C152" s="29"/>
      <c r="D152" s="35"/>
      <c r="E152" s="18" t="s">
        <v>137</v>
      </c>
      <c r="F152" s="29"/>
      <c r="G152" s="19"/>
      <c r="H152" s="41"/>
      <c r="I152" s="25"/>
      <c r="J152" s="25"/>
      <c r="K152" s="41"/>
      <c r="L152" s="35"/>
      <c r="M152" s="35"/>
      <c r="N152" s="35"/>
      <c r="O152" s="26"/>
      <c r="P152" s="23"/>
      <c r="Q152" s="24" t="str">
        <f t="shared" si="1"/>
        <v/>
      </c>
      <c r="R152" s="29"/>
      <c r="S152" s="29"/>
      <c r="T152" s="43"/>
      <c r="U152" s="29"/>
      <c r="V152" s="42"/>
      <c r="W152" s="29"/>
    </row>
    <row r="153" ht="15.75" customHeight="1">
      <c r="A153" s="29"/>
      <c r="B153" s="16"/>
      <c r="C153" s="29"/>
      <c r="D153" s="35"/>
      <c r="E153" s="18" t="s">
        <v>137</v>
      </c>
      <c r="F153" s="29"/>
      <c r="G153" s="19"/>
      <c r="H153" s="41"/>
      <c r="I153" s="25"/>
      <c r="J153" s="25"/>
      <c r="K153" s="41"/>
      <c r="L153" s="35"/>
      <c r="M153" s="35"/>
      <c r="N153" s="35"/>
      <c r="O153" s="26"/>
      <c r="P153" s="23"/>
      <c r="Q153" s="24" t="str">
        <f t="shared" si="1"/>
        <v/>
      </c>
      <c r="R153" s="29"/>
      <c r="S153" s="29"/>
      <c r="T153" s="43"/>
      <c r="U153" s="29"/>
      <c r="V153" s="42"/>
      <c r="W153" s="29"/>
    </row>
    <row r="154" ht="15.75" customHeight="1">
      <c r="A154" s="29"/>
      <c r="B154" s="16"/>
      <c r="C154" s="29"/>
      <c r="D154" s="35"/>
      <c r="E154" s="18" t="s">
        <v>137</v>
      </c>
      <c r="F154" s="29"/>
      <c r="G154" s="19"/>
      <c r="H154" s="41"/>
      <c r="I154" s="25"/>
      <c r="J154" s="25"/>
      <c r="K154" s="41"/>
      <c r="L154" s="35"/>
      <c r="M154" s="35"/>
      <c r="N154" s="35"/>
      <c r="O154" s="26"/>
      <c r="P154" s="23"/>
      <c r="Q154" s="24" t="str">
        <f t="shared" si="1"/>
        <v/>
      </c>
      <c r="R154" s="29"/>
      <c r="S154" s="29"/>
      <c r="T154" s="43"/>
      <c r="U154" s="29"/>
      <c r="V154" s="42"/>
      <c r="W154" s="29"/>
    </row>
    <row r="155" ht="15.75" customHeight="1">
      <c r="A155" s="29"/>
      <c r="B155" s="16"/>
      <c r="C155" s="29"/>
      <c r="D155" s="35"/>
      <c r="E155" s="18" t="s">
        <v>137</v>
      </c>
      <c r="F155" s="29"/>
      <c r="G155" s="19"/>
      <c r="H155" s="41"/>
      <c r="I155" s="25"/>
      <c r="J155" s="25"/>
      <c r="K155" s="41"/>
      <c r="L155" s="35"/>
      <c r="M155" s="35"/>
      <c r="N155" s="35"/>
      <c r="O155" s="26"/>
      <c r="P155" s="23"/>
      <c r="Q155" s="24" t="str">
        <f t="shared" si="1"/>
        <v/>
      </c>
      <c r="R155" s="29"/>
      <c r="S155" s="29"/>
      <c r="T155" s="43"/>
      <c r="U155" s="29"/>
      <c r="V155" s="42"/>
      <c r="W155" s="29"/>
    </row>
    <row r="156" ht="15.75" customHeight="1">
      <c r="A156" s="29"/>
      <c r="B156" s="16"/>
      <c r="C156" s="29"/>
      <c r="D156" s="35"/>
      <c r="E156" s="18" t="s">
        <v>137</v>
      </c>
      <c r="F156" s="29"/>
      <c r="G156" s="19"/>
      <c r="H156" s="41"/>
      <c r="I156" s="25"/>
      <c r="J156" s="25"/>
      <c r="K156" s="41"/>
      <c r="L156" s="35"/>
      <c r="M156" s="35"/>
      <c r="N156" s="35"/>
      <c r="O156" s="26"/>
      <c r="P156" s="23"/>
      <c r="Q156" s="24" t="str">
        <f t="shared" si="1"/>
        <v/>
      </c>
      <c r="R156" s="29"/>
      <c r="S156" s="29"/>
      <c r="T156" s="43"/>
      <c r="U156" s="29"/>
      <c r="V156" s="42"/>
      <c r="W156" s="29"/>
    </row>
    <row r="157" ht="15.75" customHeight="1">
      <c r="A157" s="29"/>
      <c r="B157" s="16"/>
      <c r="C157" s="29"/>
      <c r="D157" s="35"/>
      <c r="E157" s="18" t="s">
        <v>137</v>
      </c>
      <c r="F157" s="29"/>
      <c r="G157" s="19"/>
      <c r="H157" s="41"/>
      <c r="I157" s="25"/>
      <c r="J157" s="25"/>
      <c r="K157" s="41"/>
      <c r="L157" s="35"/>
      <c r="M157" s="35"/>
      <c r="N157" s="35"/>
      <c r="O157" s="26"/>
      <c r="P157" s="23"/>
      <c r="Q157" s="24" t="str">
        <f t="shared" si="1"/>
        <v/>
      </c>
      <c r="R157" s="29"/>
      <c r="S157" s="29"/>
      <c r="T157" s="43"/>
      <c r="U157" s="29"/>
      <c r="V157" s="42"/>
      <c r="W157" s="29"/>
    </row>
    <row r="158" ht="15.75" customHeight="1">
      <c r="A158" s="29"/>
      <c r="B158" s="16"/>
      <c r="C158" s="29"/>
      <c r="D158" s="35"/>
      <c r="E158" s="18" t="s">
        <v>137</v>
      </c>
      <c r="F158" s="29"/>
      <c r="G158" s="19"/>
      <c r="H158" s="41"/>
      <c r="I158" s="25"/>
      <c r="J158" s="25"/>
      <c r="K158" s="41"/>
      <c r="L158" s="35"/>
      <c r="M158" s="35"/>
      <c r="N158" s="35"/>
      <c r="O158" s="26"/>
      <c r="P158" s="23"/>
      <c r="Q158" s="24" t="str">
        <f t="shared" si="1"/>
        <v/>
      </c>
      <c r="R158" s="29"/>
      <c r="S158" s="29"/>
      <c r="T158" s="43"/>
      <c r="U158" s="29"/>
      <c r="V158" s="42"/>
      <c r="W158" s="29"/>
    </row>
    <row r="159" ht="15.75" customHeight="1">
      <c r="A159" s="29"/>
      <c r="B159" s="16"/>
      <c r="C159" s="29"/>
      <c r="D159" s="35"/>
      <c r="E159" s="18" t="s">
        <v>137</v>
      </c>
      <c r="F159" s="29"/>
      <c r="G159" s="19"/>
      <c r="H159" s="41"/>
      <c r="I159" s="25"/>
      <c r="J159" s="25"/>
      <c r="K159" s="41"/>
      <c r="L159" s="35"/>
      <c r="M159" s="35"/>
      <c r="N159" s="35"/>
      <c r="O159" s="26"/>
      <c r="P159" s="23"/>
      <c r="Q159" s="24" t="str">
        <f t="shared" si="1"/>
        <v/>
      </c>
      <c r="R159" s="29"/>
      <c r="S159" s="29"/>
      <c r="T159" s="43"/>
      <c r="U159" s="29"/>
      <c r="V159" s="42"/>
      <c r="W159" s="29"/>
    </row>
    <row r="160" ht="15.75" customHeight="1">
      <c r="A160" s="29"/>
      <c r="B160" s="16"/>
      <c r="C160" s="29"/>
      <c r="D160" s="35"/>
      <c r="E160" s="18" t="s">
        <v>137</v>
      </c>
      <c r="F160" s="29"/>
      <c r="G160" s="19"/>
      <c r="H160" s="41"/>
      <c r="I160" s="25"/>
      <c r="J160" s="25"/>
      <c r="K160" s="41"/>
      <c r="L160" s="35"/>
      <c r="M160" s="35"/>
      <c r="N160" s="35"/>
      <c r="O160" s="26"/>
      <c r="P160" s="23"/>
      <c r="Q160" s="24" t="str">
        <f t="shared" si="1"/>
        <v/>
      </c>
      <c r="R160" s="29"/>
      <c r="S160" s="29"/>
      <c r="T160" s="43"/>
      <c r="U160" s="29"/>
      <c r="V160" s="42"/>
      <c r="W160" s="29"/>
    </row>
    <row r="161" ht="15.75" customHeight="1">
      <c r="A161" s="29"/>
      <c r="B161" s="16"/>
      <c r="C161" s="29"/>
      <c r="D161" s="35"/>
      <c r="E161" s="18" t="s">
        <v>137</v>
      </c>
      <c r="F161" s="29"/>
      <c r="G161" s="19"/>
      <c r="H161" s="41"/>
      <c r="I161" s="25"/>
      <c r="J161" s="25"/>
      <c r="K161" s="41"/>
      <c r="L161" s="35"/>
      <c r="M161" s="35"/>
      <c r="N161" s="35"/>
      <c r="O161" s="26"/>
      <c r="P161" s="23"/>
      <c r="Q161" s="24" t="str">
        <f t="shared" si="1"/>
        <v/>
      </c>
      <c r="R161" s="29"/>
      <c r="S161" s="29"/>
      <c r="T161" s="43"/>
      <c r="U161" s="29"/>
      <c r="V161" s="42"/>
      <c r="W161" s="29"/>
    </row>
    <row r="162" ht="15.75" customHeight="1">
      <c r="A162" s="29"/>
      <c r="B162" s="16"/>
      <c r="C162" s="29"/>
      <c r="D162" s="35"/>
      <c r="E162" s="18" t="s">
        <v>137</v>
      </c>
      <c r="F162" s="29"/>
      <c r="G162" s="19"/>
      <c r="H162" s="41"/>
      <c r="I162" s="25"/>
      <c r="J162" s="25"/>
      <c r="K162" s="41"/>
      <c r="L162" s="35"/>
      <c r="M162" s="35"/>
      <c r="N162" s="35"/>
      <c r="O162" s="26"/>
      <c r="P162" s="23"/>
      <c r="Q162" s="24" t="str">
        <f t="shared" si="1"/>
        <v/>
      </c>
      <c r="R162" s="29"/>
      <c r="S162" s="29"/>
      <c r="T162" s="43"/>
      <c r="U162" s="29"/>
      <c r="V162" s="42"/>
      <c r="W162" s="29"/>
    </row>
    <row r="163" ht="15.75" customHeight="1">
      <c r="A163" s="29"/>
      <c r="B163" s="16"/>
      <c r="C163" s="29"/>
      <c r="D163" s="35"/>
      <c r="E163" s="18" t="s">
        <v>137</v>
      </c>
      <c r="F163" s="29"/>
      <c r="G163" s="19"/>
      <c r="H163" s="41"/>
      <c r="I163" s="25"/>
      <c r="J163" s="25"/>
      <c r="K163" s="41"/>
      <c r="L163" s="35"/>
      <c r="M163" s="35"/>
      <c r="N163" s="35"/>
      <c r="O163" s="26"/>
      <c r="P163" s="23"/>
      <c r="Q163" s="24" t="str">
        <f t="shared" si="1"/>
        <v/>
      </c>
      <c r="R163" s="29"/>
      <c r="S163" s="29"/>
      <c r="T163" s="43"/>
      <c r="U163" s="29"/>
      <c r="V163" s="42"/>
      <c r="W163" s="29"/>
    </row>
    <row r="164" ht="15.75" customHeight="1">
      <c r="A164" s="29"/>
      <c r="B164" s="16"/>
      <c r="C164" s="29"/>
      <c r="D164" s="35"/>
      <c r="E164" s="18" t="s">
        <v>137</v>
      </c>
      <c r="F164" s="29"/>
      <c r="G164" s="19"/>
      <c r="H164" s="41"/>
      <c r="I164" s="25"/>
      <c r="J164" s="25"/>
      <c r="K164" s="41"/>
      <c r="L164" s="35"/>
      <c r="M164" s="35"/>
      <c r="N164" s="35"/>
      <c r="O164" s="26"/>
      <c r="P164" s="23"/>
      <c r="Q164" s="24" t="str">
        <f t="shared" si="1"/>
        <v/>
      </c>
      <c r="R164" s="29"/>
      <c r="S164" s="29"/>
      <c r="T164" s="43"/>
      <c r="U164" s="29"/>
      <c r="V164" s="42"/>
      <c r="W164" s="29"/>
    </row>
    <row r="165" ht="15.75" customHeight="1">
      <c r="A165" s="29"/>
      <c r="B165" s="16"/>
      <c r="C165" s="29"/>
      <c r="D165" s="35"/>
      <c r="E165" s="18" t="s">
        <v>137</v>
      </c>
      <c r="F165" s="29"/>
      <c r="G165" s="19"/>
      <c r="H165" s="41"/>
      <c r="I165" s="25"/>
      <c r="J165" s="25"/>
      <c r="K165" s="41"/>
      <c r="L165" s="35"/>
      <c r="M165" s="35"/>
      <c r="N165" s="35"/>
      <c r="O165" s="26"/>
      <c r="P165" s="23"/>
      <c r="Q165" s="24" t="str">
        <f t="shared" si="1"/>
        <v/>
      </c>
      <c r="R165" s="29"/>
      <c r="S165" s="29"/>
      <c r="T165" s="43"/>
      <c r="U165" s="29"/>
      <c r="V165" s="42"/>
      <c r="W165" s="29"/>
    </row>
    <row r="166" ht="15.75" customHeight="1">
      <c r="A166" s="29"/>
      <c r="B166" s="16"/>
      <c r="C166" s="29"/>
      <c r="D166" s="35"/>
      <c r="E166" s="18" t="s">
        <v>137</v>
      </c>
      <c r="F166" s="29"/>
      <c r="G166" s="19"/>
      <c r="H166" s="41"/>
      <c r="I166" s="25"/>
      <c r="J166" s="25"/>
      <c r="K166" s="41"/>
      <c r="L166" s="35"/>
      <c r="M166" s="35"/>
      <c r="N166" s="35"/>
      <c r="O166" s="26"/>
      <c r="P166" s="23"/>
      <c r="Q166" s="24" t="str">
        <f t="shared" si="1"/>
        <v/>
      </c>
      <c r="R166" s="29"/>
      <c r="S166" s="29"/>
      <c r="T166" s="43"/>
      <c r="U166" s="29"/>
      <c r="V166" s="42"/>
      <c r="W166" s="29"/>
    </row>
    <row r="167" ht="15.75" customHeight="1">
      <c r="A167" s="29"/>
      <c r="B167" s="16"/>
      <c r="C167" s="29"/>
      <c r="D167" s="35"/>
      <c r="E167" s="18" t="s">
        <v>137</v>
      </c>
      <c r="F167" s="29"/>
      <c r="G167" s="19"/>
      <c r="H167" s="41"/>
      <c r="I167" s="25"/>
      <c r="J167" s="25"/>
      <c r="K167" s="41"/>
      <c r="L167" s="35"/>
      <c r="M167" s="35"/>
      <c r="N167" s="35"/>
      <c r="O167" s="26"/>
      <c r="P167" s="23"/>
      <c r="Q167" s="24" t="str">
        <f t="shared" si="1"/>
        <v/>
      </c>
      <c r="R167" s="29"/>
      <c r="S167" s="29"/>
      <c r="T167" s="43"/>
      <c r="U167" s="29"/>
      <c r="V167" s="42"/>
      <c r="W167" s="29"/>
    </row>
    <row r="168" ht="15.75" customHeight="1">
      <c r="A168" s="29"/>
      <c r="B168" s="16"/>
      <c r="C168" s="29"/>
      <c r="D168" s="35"/>
      <c r="E168" s="18" t="s">
        <v>137</v>
      </c>
      <c r="F168" s="29"/>
      <c r="G168" s="19"/>
      <c r="H168" s="41"/>
      <c r="I168" s="25"/>
      <c r="J168" s="25"/>
      <c r="K168" s="41"/>
      <c r="L168" s="35"/>
      <c r="M168" s="35"/>
      <c r="N168" s="35"/>
      <c r="O168" s="26"/>
      <c r="P168" s="23"/>
      <c r="Q168" s="24" t="str">
        <f t="shared" si="1"/>
        <v/>
      </c>
      <c r="R168" s="29"/>
      <c r="S168" s="29"/>
      <c r="T168" s="43"/>
      <c r="U168" s="29"/>
      <c r="V168" s="42"/>
      <c r="W168" s="29"/>
    </row>
    <row r="169" ht="15.75" customHeight="1">
      <c r="A169" s="29"/>
      <c r="B169" s="16"/>
      <c r="C169" s="29"/>
      <c r="D169" s="35"/>
      <c r="E169" s="18" t="s">
        <v>137</v>
      </c>
      <c r="F169" s="29"/>
      <c r="G169" s="19"/>
      <c r="H169" s="41"/>
      <c r="I169" s="25"/>
      <c r="J169" s="25"/>
      <c r="K169" s="41"/>
      <c r="L169" s="35"/>
      <c r="M169" s="35"/>
      <c r="N169" s="35"/>
      <c r="O169" s="26"/>
      <c r="P169" s="23"/>
      <c r="Q169" s="24" t="str">
        <f t="shared" si="1"/>
        <v/>
      </c>
      <c r="R169" s="29"/>
      <c r="S169" s="29"/>
      <c r="T169" s="43"/>
      <c r="U169" s="29"/>
      <c r="V169" s="42"/>
      <c r="W169" s="29"/>
    </row>
    <row r="170" ht="15.75" customHeight="1">
      <c r="A170" s="29"/>
      <c r="B170" s="16"/>
      <c r="C170" s="29"/>
      <c r="D170" s="35"/>
      <c r="E170" s="18" t="s">
        <v>137</v>
      </c>
      <c r="F170" s="29"/>
      <c r="G170" s="19"/>
      <c r="H170" s="41"/>
      <c r="I170" s="25"/>
      <c r="J170" s="25"/>
      <c r="K170" s="41"/>
      <c r="L170" s="35"/>
      <c r="M170" s="35"/>
      <c r="N170" s="35"/>
      <c r="O170" s="26"/>
      <c r="P170" s="23"/>
      <c r="Q170" s="24" t="str">
        <f t="shared" si="1"/>
        <v/>
      </c>
      <c r="R170" s="29"/>
      <c r="S170" s="29"/>
      <c r="T170" s="43"/>
      <c r="U170" s="29"/>
      <c r="V170" s="42"/>
      <c r="W170" s="29"/>
    </row>
    <row r="171" ht="15.75" customHeight="1">
      <c r="A171" s="29"/>
      <c r="B171" s="16"/>
      <c r="C171" s="29"/>
      <c r="D171" s="35"/>
      <c r="E171" s="18" t="s">
        <v>137</v>
      </c>
      <c r="F171" s="29"/>
      <c r="G171" s="19"/>
      <c r="H171" s="41"/>
      <c r="I171" s="25"/>
      <c r="J171" s="25"/>
      <c r="K171" s="41"/>
      <c r="L171" s="35"/>
      <c r="M171" s="35"/>
      <c r="N171" s="35"/>
      <c r="O171" s="26"/>
      <c r="P171" s="23"/>
      <c r="Q171" s="24" t="str">
        <f t="shared" si="1"/>
        <v/>
      </c>
      <c r="R171" s="29"/>
      <c r="S171" s="29"/>
      <c r="T171" s="43"/>
      <c r="U171" s="29"/>
      <c r="V171" s="42"/>
      <c r="W171" s="29"/>
    </row>
    <row r="172" ht="15.75" customHeight="1">
      <c r="A172" s="29"/>
      <c r="B172" s="16"/>
      <c r="C172" s="29"/>
      <c r="D172" s="35"/>
      <c r="E172" s="18" t="s">
        <v>137</v>
      </c>
      <c r="F172" s="29"/>
      <c r="G172" s="19"/>
      <c r="H172" s="41"/>
      <c r="I172" s="25"/>
      <c r="J172" s="25"/>
      <c r="K172" s="41"/>
      <c r="L172" s="35"/>
      <c r="M172" s="35"/>
      <c r="N172" s="35"/>
      <c r="O172" s="26"/>
      <c r="P172" s="23"/>
      <c r="Q172" s="24" t="str">
        <f t="shared" si="1"/>
        <v/>
      </c>
      <c r="R172" s="29"/>
      <c r="S172" s="29"/>
      <c r="T172" s="43"/>
      <c r="U172" s="29"/>
      <c r="V172" s="42"/>
      <c r="W172" s="29"/>
    </row>
    <row r="173" ht="15.75" customHeight="1">
      <c r="A173" s="29"/>
      <c r="B173" s="16"/>
      <c r="C173" s="29"/>
      <c r="D173" s="35"/>
      <c r="E173" s="18" t="s">
        <v>137</v>
      </c>
      <c r="F173" s="29"/>
      <c r="G173" s="19"/>
      <c r="H173" s="41"/>
      <c r="I173" s="25"/>
      <c r="J173" s="25"/>
      <c r="K173" s="41"/>
      <c r="L173" s="35"/>
      <c r="M173" s="35"/>
      <c r="N173" s="35"/>
      <c r="O173" s="26"/>
      <c r="P173" s="23"/>
      <c r="Q173" s="24" t="str">
        <f t="shared" si="1"/>
        <v/>
      </c>
      <c r="R173" s="29"/>
      <c r="S173" s="29"/>
      <c r="T173" s="43"/>
      <c r="U173" s="29"/>
      <c r="V173" s="42"/>
      <c r="W173" s="29"/>
    </row>
    <row r="174" ht="15.75" customHeight="1">
      <c r="A174" s="29"/>
      <c r="B174" s="16"/>
      <c r="C174" s="29"/>
      <c r="D174" s="35"/>
      <c r="E174" s="18" t="s">
        <v>137</v>
      </c>
      <c r="F174" s="29"/>
      <c r="G174" s="19"/>
      <c r="H174" s="41"/>
      <c r="I174" s="25"/>
      <c r="J174" s="25"/>
      <c r="K174" s="41"/>
      <c r="L174" s="35"/>
      <c r="M174" s="35"/>
      <c r="N174" s="35"/>
      <c r="O174" s="26"/>
      <c r="P174" s="23"/>
      <c r="Q174" s="24" t="str">
        <f t="shared" si="1"/>
        <v/>
      </c>
      <c r="R174" s="29"/>
      <c r="S174" s="29"/>
      <c r="T174" s="43"/>
      <c r="U174" s="29"/>
      <c r="V174" s="42"/>
      <c r="W174" s="29"/>
    </row>
    <row r="175" ht="15.75" customHeight="1">
      <c r="A175" s="29"/>
      <c r="B175" s="16"/>
      <c r="C175" s="29"/>
      <c r="D175" s="35"/>
      <c r="E175" s="18" t="s">
        <v>137</v>
      </c>
      <c r="F175" s="29"/>
      <c r="G175" s="19"/>
      <c r="H175" s="41"/>
      <c r="I175" s="25"/>
      <c r="J175" s="25"/>
      <c r="K175" s="41"/>
      <c r="L175" s="35"/>
      <c r="M175" s="35"/>
      <c r="N175" s="35"/>
      <c r="O175" s="26"/>
      <c r="P175" s="23"/>
      <c r="Q175" s="24" t="str">
        <f t="shared" si="1"/>
        <v/>
      </c>
      <c r="R175" s="29"/>
      <c r="S175" s="29"/>
      <c r="T175" s="43"/>
      <c r="U175" s="29"/>
      <c r="V175" s="42"/>
      <c r="W175" s="29"/>
    </row>
    <row r="176" ht="15.75" customHeight="1">
      <c r="A176" s="29"/>
      <c r="B176" s="16"/>
      <c r="C176" s="29"/>
      <c r="D176" s="35"/>
      <c r="E176" s="18" t="s">
        <v>137</v>
      </c>
      <c r="F176" s="29"/>
      <c r="G176" s="19"/>
      <c r="H176" s="41"/>
      <c r="I176" s="25"/>
      <c r="J176" s="25"/>
      <c r="K176" s="41"/>
      <c r="L176" s="35"/>
      <c r="M176" s="35"/>
      <c r="N176" s="35"/>
      <c r="O176" s="26"/>
      <c r="P176" s="23"/>
      <c r="Q176" s="24" t="str">
        <f t="shared" si="1"/>
        <v/>
      </c>
      <c r="R176" s="29"/>
      <c r="S176" s="29"/>
      <c r="T176" s="43"/>
      <c r="U176" s="29"/>
      <c r="V176" s="42"/>
      <c r="W176" s="29"/>
    </row>
    <row r="177" ht="15.75" customHeight="1">
      <c r="A177" s="29"/>
      <c r="B177" s="16"/>
      <c r="C177" s="29"/>
      <c r="D177" s="35"/>
      <c r="E177" s="18" t="s">
        <v>137</v>
      </c>
      <c r="F177" s="29"/>
      <c r="G177" s="19"/>
      <c r="H177" s="41"/>
      <c r="I177" s="25"/>
      <c r="J177" s="25"/>
      <c r="K177" s="41"/>
      <c r="L177" s="35"/>
      <c r="M177" s="35"/>
      <c r="N177" s="35"/>
      <c r="O177" s="26"/>
      <c r="P177" s="23"/>
      <c r="Q177" s="24" t="str">
        <f t="shared" si="1"/>
        <v/>
      </c>
      <c r="R177" s="29"/>
      <c r="S177" s="29"/>
      <c r="T177" s="43"/>
      <c r="U177" s="29"/>
      <c r="V177" s="42"/>
      <c r="W177" s="29"/>
    </row>
    <row r="178" ht="15.75" customHeight="1">
      <c r="A178" s="29"/>
      <c r="B178" s="16"/>
      <c r="C178" s="29"/>
      <c r="D178" s="35"/>
      <c r="E178" s="18" t="s">
        <v>137</v>
      </c>
      <c r="F178" s="29"/>
      <c r="G178" s="19"/>
      <c r="H178" s="41"/>
      <c r="I178" s="25"/>
      <c r="J178" s="25"/>
      <c r="K178" s="41"/>
      <c r="L178" s="35"/>
      <c r="M178" s="35"/>
      <c r="N178" s="35"/>
      <c r="O178" s="26"/>
      <c r="P178" s="23"/>
      <c r="Q178" s="24" t="str">
        <f t="shared" si="1"/>
        <v/>
      </c>
      <c r="R178" s="29"/>
      <c r="S178" s="29"/>
      <c r="T178" s="43"/>
      <c r="U178" s="29"/>
      <c r="V178" s="42"/>
      <c r="W178" s="29"/>
    </row>
    <row r="179" ht="15.75" customHeight="1">
      <c r="A179" s="29"/>
      <c r="B179" s="16"/>
      <c r="C179" s="29"/>
      <c r="D179" s="35"/>
      <c r="E179" s="18" t="s">
        <v>137</v>
      </c>
      <c r="F179" s="29"/>
      <c r="G179" s="19"/>
      <c r="H179" s="41"/>
      <c r="I179" s="25"/>
      <c r="J179" s="25"/>
      <c r="K179" s="41"/>
      <c r="L179" s="35"/>
      <c r="M179" s="35"/>
      <c r="N179" s="35"/>
      <c r="O179" s="26"/>
      <c r="P179" s="23"/>
      <c r="Q179" s="24" t="str">
        <f t="shared" si="1"/>
        <v/>
      </c>
      <c r="R179" s="29"/>
      <c r="S179" s="29"/>
      <c r="T179" s="43"/>
      <c r="U179" s="29"/>
      <c r="V179" s="42"/>
      <c r="W179" s="29"/>
    </row>
    <row r="180" ht="15.75" customHeight="1">
      <c r="A180" s="29"/>
      <c r="B180" s="16"/>
      <c r="C180" s="29"/>
      <c r="D180" s="35"/>
      <c r="E180" s="18" t="s">
        <v>137</v>
      </c>
      <c r="F180" s="29"/>
      <c r="G180" s="19"/>
      <c r="H180" s="41"/>
      <c r="I180" s="25"/>
      <c r="J180" s="25"/>
      <c r="K180" s="41"/>
      <c r="L180" s="35"/>
      <c r="M180" s="35"/>
      <c r="N180" s="35"/>
      <c r="O180" s="26"/>
      <c r="P180" s="23"/>
      <c r="Q180" s="24" t="str">
        <f t="shared" si="1"/>
        <v/>
      </c>
      <c r="R180" s="29"/>
      <c r="S180" s="29"/>
      <c r="T180" s="43"/>
      <c r="U180" s="29"/>
      <c r="V180" s="42"/>
      <c r="W180" s="29"/>
    </row>
    <row r="181" ht="15.75" customHeight="1">
      <c r="A181" s="29"/>
      <c r="B181" s="16"/>
      <c r="C181" s="29"/>
      <c r="D181" s="35"/>
      <c r="E181" s="18" t="s">
        <v>137</v>
      </c>
      <c r="F181" s="29"/>
      <c r="G181" s="19"/>
      <c r="H181" s="41"/>
      <c r="I181" s="25"/>
      <c r="J181" s="25"/>
      <c r="K181" s="41"/>
      <c r="L181" s="35"/>
      <c r="M181" s="35"/>
      <c r="N181" s="35"/>
      <c r="O181" s="26"/>
      <c r="P181" s="23"/>
      <c r="Q181" s="24" t="str">
        <f t="shared" si="1"/>
        <v/>
      </c>
      <c r="R181" s="29"/>
      <c r="S181" s="29"/>
      <c r="T181" s="43"/>
      <c r="U181" s="29"/>
      <c r="V181" s="42"/>
      <c r="W181" s="29"/>
    </row>
    <row r="182" ht="15.75" customHeight="1">
      <c r="A182" s="29"/>
      <c r="B182" s="16"/>
      <c r="C182" s="29"/>
      <c r="D182" s="35"/>
      <c r="E182" s="18" t="s">
        <v>137</v>
      </c>
      <c r="F182" s="29"/>
      <c r="G182" s="19"/>
      <c r="H182" s="41"/>
      <c r="I182" s="25"/>
      <c r="J182" s="25"/>
      <c r="K182" s="41"/>
      <c r="L182" s="35"/>
      <c r="M182" s="35"/>
      <c r="N182" s="35"/>
      <c r="O182" s="26"/>
      <c r="P182" s="23"/>
      <c r="Q182" s="24" t="str">
        <f t="shared" si="1"/>
        <v/>
      </c>
      <c r="R182" s="29"/>
      <c r="S182" s="29"/>
      <c r="T182" s="43"/>
      <c r="U182" s="29"/>
      <c r="V182" s="42"/>
      <c r="W182" s="29"/>
    </row>
    <row r="183" ht="15.75" customHeight="1">
      <c r="A183" s="29"/>
      <c r="B183" s="16"/>
      <c r="C183" s="29"/>
      <c r="D183" s="35"/>
      <c r="E183" s="18" t="s">
        <v>137</v>
      </c>
      <c r="F183" s="29"/>
      <c r="G183" s="19"/>
      <c r="H183" s="41"/>
      <c r="I183" s="25"/>
      <c r="J183" s="25"/>
      <c r="K183" s="41"/>
      <c r="L183" s="35"/>
      <c r="M183" s="35"/>
      <c r="N183" s="35"/>
      <c r="O183" s="26"/>
      <c r="P183" s="23"/>
      <c r="Q183" s="24" t="str">
        <f t="shared" si="1"/>
        <v/>
      </c>
      <c r="R183" s="29"/>
      <c r="S183" s="29"/>
      <c r="T183" s="43"/>
      <c r="U183" s="29"/>
      <c r="V183" s="42"/>
      <c r="W183" s="29"/>
    </row>
    <row r="184" ht="15.75" customHeight="1">
      <c r="A184" s="29"/>
      <c r="B184" s="16"/>
      <c r="C184" s="29"/>
      <c r="D184" s="35"/>
      <c r="E184" s="18" t="s">
        <v>137</v>
      </c>
      <c r="F184" s="29"/>
      <c r="G184" s="19"/>
      <c r="H184" s="41"/>
      <c r="I184" s="25"/>
      <c r="J184" s="25"/>
      <c r="K184" s="41"/>
      <c r="L184" s="35"/>
      <c r="M184" s="35"/>
      <c r="N184" s="35"/>
      <c r="O184" s="26"/>
      <c r="P184" s="23"/>
      <c r="Q184" s="24" t="str">
        <f t="shared" si="1"/>
        <v/>
      </c>
      <c r="R184" s="29"/>
      <c r="S184" s="29"/>
      <c r="T184" s="43"/>
      <c r="U184" s="29"/>
      <c r="V184" s="42"/>
      <c r="W184" s="29"/>
    </row>
    <row r="185" ht="15.75" customHeight="1">
      <c r="A185" s="29"/>
      <c r="B185" s="16"/>
      <c r="C185" s="29"/>
      <c r="D185" s="35"/>
      <c r="E185" s="18" t="s">
        <v>137</v>
      </c>
      <c r="F185" s="29"/>
      <c r="G185" s="19"/>
      <c r="H185" s="41"/>
      <c r="I185" s="25"/>
      <c r="J185" s="25"/>
      <c r="K185" s="41"/>
      <c r="L185" s="35"/>
      <c r="M185" s="35"/>
      <c r="N185" s="35"/>
      <c r="O185" s="26"/>
      <c r="P185" s="23"/>
      <c r="Q185" s="24" t="str">
        <f t="shared" si="1"/>
        <v/>
      </c>
      <c r="R185" s="29"/>
      <c r="S185" s="29"/>
      <c r="T185" s="43"/>
      <c r="U185" s="29"/>
      <c r="V185" s="42"/>
      <c r="W185" s="29"/>
    </row>
    <row r="186" ht="15.75" customHeight="1">
      <c r="A186" s="29"/>
      <c r="B186" s="16"/>
      <c r="C186" s="29"/>
      <c r="D186" s="35"/>
      <c r="E186" s="18" t="s">
        <v>137</v>
      </c>
      <c r="F186" s="29"/>
      <c r="G186" s="19"/>
      <c r="H186" s="41"/>
      <c r="I186" s="25"/>
      <c r="J186" s="25"/>
      <c r="K186" s="41"/>
      <c r="L186" s="35"/>
      <c r="M186" s="35"/>
      <c r="N186" s="35"/>
      <c r="O186" s="26"/>
      <c r="P186" s="23"/>
      <c r="Q186" s="24" t="str">
        <f t="shared" si="1"/>
        <v/>
      </c>
      <c r="R186" s="29"/>
      <c r="S186" s="29"/>
      <c r="T186" s="43"/>
      <c r="U186" s="29"/>
      <c r="V186" s="42"/>
      <c r="W186" s="29"/>
    </row>
    <row r="187" ht="15.75" customHeight="1">
      <c r="A187" s="29"/>
      <c r="B187" s="16"/>
      <c r="C187" s="29"/>
      <c r="D187" s="35"/>
      <c r="E187" s="18" t="s">
        <v>137</v>
      </c>
      <c r="F187" s="29"/>
      <c r="G187" s="19"/>
      <c r="H187" s="41"/>
      <c r="I187" s="25"/>
      <c r="J187" s="25"/>
      <c r="K187" s="41"/>
      <c r="L187" s="35"/>
      <c r="M187" s="35"/>
      <c r="N187" s="35"/>
      <c r="O187" s="26"/>
      <c r="P187" s="23"/>
      <c r="Q187" s="24" t="str">
        <f t="shared" si="1"/>
        <v/>
      </c>
      <c r="R187" s="29"/>
      <c r="S187" s="29"/>
      <c r="T187" s="43"/>
      <c r="U187" s="29"/>
      <c r="V187" s="42"/>
      <c r="W187" s="29"/>
    </row>
    <row r="188" ht="15.75" customHeight="1">
      <c r="A188" s="29"/>
      <c r="B188" s="16"/>
      <c r="C188" s="29"/>
      <c r="D188" s="35"/>
      <c r="E188" s="18" t="s">
        <v>137</v>
      </c>
      <c r="F188" s="29"/>
      <c r="G188" s="19"/>
      <c r="H188" s="41"/>
      <c r="I188" s="25"/>
      <c r="J188" s="25"/>
      <c r="K188" s="41"/>
      <c r="L188" s="35"/>
      <c r="M188" s="35"/>
      <c r="N188" s="35"/>
      <c r="O188" s="26"/>
      <c r="P188" s="23"/>
      <c r="Q188" s="24" t="str">
        <f t="shared" si="1"/>
        <v/>
      </c>
      <c r="R188" s="29"/>
      <c r="S188" s="29"/>
      <c r="T188" s="43"/>
      <c r="U188" s="29"/>
      <c r="V188" s="42"/>
      <c r="W188" s="29"/>
    </row>
    <row r="189" ht="15.75" customHeight="1">
      <c r="A189" s="29"/>
      <c r="B189" s="16"/>
      <c r="C189" s="29"/>
      <c r="D189" s="35"/>
      <c r="E189" s="18" t="s">
        <v>137</v>
      </c>
      <c r="F189" s="29"/>
      <c r="G189" s="19"/>
      <c r="H189" s="41"/>
      <c r="I189" s="25"/>
      <c r="J189" s="25"/>
      <c r="K189" s="41"/>
      <c r="L189" s="35"/>
      <c r="M189" s="35"/>
      <c r="N189" s="35"/>
      <c r="O189" s="26"/>
      <c r="P189" s="23"/>
      <c r="Q189" s="24" t="str">
        <f t="shared" si="1"/>
        <v/>
      </c>
      <c r="R189" s="29"/>
      <c r="S189" s="29"/>
      <c r="T189" s="43"/>
      <c r="U189" s="29"/>
      <c r="V189" s="42"/>
      <c r="W189" s="29"/>
    </row>
    <row r="190" ht="15.75" customHeight="1">
      <c r="A190" s="29"/>
      <c r="B190" s="16"/>
      <c r="C190" s="29"/>
      <c r="D190" s="35"/>
      <c r="E190" s="18" t="s">
        <v>137</v>
      </c>
      <c r="F190" s="29"/>
      <c r="G190" s="19"/>
      <c r="H190" s="41"/>
      <c r="I190" s="25"/>
      <c r="J190" s="25"/>
      <c r="K190" s="41"/>
      <c r="L190" s="35"/>
      <c r="M190" s="35"/>
      <c r="N190" s="35"/>
      <c r="O190" s="26"/>
      <c r="P190" s="23"/>
      <c r="Q190" s="24" t="str">
        <f t="shared" si="1"/>
        <v/>
      </c>
      <c r="R190" s="29"/>
      <c r="S190" s="29"/>
      <c r="T190" s="43"/>
      <c r="U190" s="29"/>
      <c r="V190" s="42"/>
      <c r="W190" s="29"/>
    </row>
    <row r="191" ht="15.75" customHeight="1">
      <c r="A191" s="29"/>
      <c r="B191" s="16"/>
      <c r="C191" s="29"/>
      <c r="D191" s="35"/>
      <c r="E191" s="18" t="s">
        <v>137</v>
      </c>
      <c r="F191" s="29"/>
      <c r="G191" s="19"/>
      <c r="H191" s="41"/>
      <c r="I191" s="25"/>
      <c r="J191" s="25"/>
      <c r="K191" s="41"/>
      <c r="L191" s="35"/>
      <c r="M191" s="35"/>
      <c r="N191" s="35"/>
      <c r="O191" s="26"/>
      <c r="P191" s="23"/>
      <c r="Q191" s="24" t="str">
        <f t="shared" si="1"/>
        <v/>
      </c>
      <c r="R191" s="29"/>
      <c r="S191" s="29"/>
      <c r="T191" s="43"/>
      <c r="U191" s="29"/>
      <c r="V191" s="42"/>
      <c r="W191" s="29"/>
    </row>
    <row r="192" ht="15.75" customHeight="1">
      <c r="A192" s="29"/>
      <c r="B192" s="16"/>
      <c r="C192" s="29"/>
      <c r="D192" s="35"/>
      <c r="E192" s="18" t="s">
        <v>137</v>
      </c>
      <c r="F192" s="29"/>
      <c r="G192" s="19"/>
      <c r="H192" s="41"/>
      <c r="I192" s="25"/>
      <c r="J192" s="25"/>
      <c r="K192" s="41"/>
      <c r="L192" s="35"/>
      <c r="M192" s="35"/>
      <c r="N192" s="35"/>
      <c r="O192" s="26"/>
      <c r="P192" s="23"/>
      <c r="Q192" s="24"/>
      <c r="R192" s="29"/>
      <c r="S192" s="29"/>
      <c r="T192" s="43"/>
      <c r="U192" s="29"/>
      <c r="V192" s="42"/>
      <c r="W192" s="29"/>
    </row>
    <row r="193" ht="15.75" customHeight="1">
      <c r="A193" s="29"/>
      <c r="B193" s="16"/>
      <c r="C193" s="29"/>
      <c r="D193" s="35"/>
      <c r="E193" s="18" t="s">
        <v>137</v>
      </c>
      <c r="F193" s="29"/>
      <c r="G193" s="19"/>
      <c r="H193" s="41"/>
      <c r="I193" s="25"/>
      <c r="J193" s="25"/>
      <c r="K193" s="41"/>
      <c r="L193" s="35"/>
      <c r="M193" s="35"/>
      <c r="N193" s="35"/>
      <c r="O193" s="26"/>
      <c r="P193" s="23"/>
      <c r="Q193" s="24"/>
      <c r="R193" s="29"/>
      <c r="S193" s="29"/>
      <c r="T193" s="43"/>
      <c r="U193" s="29"/>
      <c r="V193" s="42"/>
      <c r="W193" s="29"/>
    </row>
    <row r="194" ht="15.75" customHeight="1">
      <c r="A194" s="29"/>
      <c r="B194" s="16"/>
      <c r="C194" s="29"/>
      <c r="D194" s="35"/>
      <c r="E194" s="18" t="s">
        <v>137</v>
      </c>
      <c r="F194" s="29"/>
      <c r="G194" s="19"/>
      <c r="H194" s="41"/>
      <c r="I194" s="25"/>
      <c r="J194" s="25"/>
      <c r="K194" s="41"/>
      <c r="L194" s="35"/>
      <c r="M194" s="35"/>
      <c r="N194" s="35"/>
      <c r="O194" s="26"/>
      <c r="P194" s="23"/>
      <c r="Q194" s="24"/>
      <c r="R194" s="29"/>
      <c r="S194" s="29"/>
      <c r="T194" s="43"/>
      <c r="U194" s="29"/>
      <c r="V194" s="42"/>
      <c r="W194" s="29"/>
    </row>
    <row r="195" ht="15.75" customHeight="1">
      <c r="A195" s="29"/>
      <c r="B195" s="16"/>
      <c r="C195" s="29"/>
      <c r="D195" s="35"/>
      <c r="E195" s="18" t="s">
        <v>137</v>
      </c>
      <c r="F195" s="29"/>
      <c r="G195" s="19"/>
      <c r="H195" s="41"/>
      <c r="I195" s="25"/>
      <c r="J195" s="25"/>
      <c r="K195" s="41"/>
      <c r="L195" s="35"/>
      <c r="M195" s="35"/>
      <c r="N195" s="35"/>
      <c r="O195" s="26"/>
      <c r="P195" s="23"/>
      <c r="Q195" s="24"/>
      <c r="R195" s="29"/>
      <c r="S195" s="29"/>
      <c r="T195" s="43"/>
      <c r="U195" s="29"/>
      <c r="V195" s="42"/>
      <c r="W195" s="29"/>
    </row>
    <row r="196" ht="15.75" customHeight="1">
      <c r="A196" s="29"/>
      <c r="B196" s="16"/>
      <c r="C196" s="29"/>
      <c r="D196" s="35"/>
      <c r="E196" s="18" t="s">
        <v>137</v>
      </c>
      <c r="F196" s="29"/>
      <c r="G196" s="19"/>
      <c r="H196" s="41"/>
      <c r="I196" s="25"/>
      <c r="J196" s="25"/>
      <c r="K196" s="41"/>
      <c r="L196" s="35"/>
      <c r="M196" s="35"/>
      <c r="N196" s="35"/>
      <c r="O196" s="26"/>
      <c r="P196" s="23"/>
      <c r="Q196" s="24"/>
      <c r="R196" s="29"/>
      <c r="S196" s="29"/>
      <c r="T196" s="43"/>
      <c r="U196" s="29"/>
      <c r="V196" s="42"/>
      <c r="W196" s="29"/>
    </row>
    <row r="197" ht="15.75" customHeight="1">
      <c r="A197" s="29"/>
      <c r="B197" s="16"/>
      <c r="C197" s="29"/>
      <c r="D197" s="35"/>
      <c r="E197" s="18" t="s">
        <v>137</v>
      </c>
      <c r="F197" s="29"/>
      <c r="G197" s="19"/>
      <c r="H197" s="41"/>
      <c r="I197" s="25"/>
      <c r="J197" s="25"/>
      <c r="K197" s="41"/>
      <c r="L197" s="35"/>
      <c r="M197" s="35"/>
      <c r="N197" s="35"/>
      <c r="O197" s="26"/>
      <c r="P197" s="23"/>
      <c r="Q197" s="24"/>
      <c r="R197" s="29"/>
      <c r="S197" s="29"/>
      <c r="T197" s="43"/>
      <c r="U197" s="29"/>
      <c r="V197" s="42"/>
      <c r="W197" s="29"/>
    </row>
    <row r="198" ht="15.75" customHeight="1">
      <c r="A198" s="29"/>
      <c r="B198" s="16"/>
      <c r="C198" s="29"/>
      <c r="D198" s="35"/>
      <c r="E198" s="18" t="s">
        <v>137</v>
      </c>
      <c r="F198" s="29"/>
      <c r="G198" s="19"/>
      <c r="H198" s="41"/>
      <c r="I198" s="25"/>
      <c r="J198" s="25"/>
      <c r="K198" s="41"/>
      <c r="L198" s="35"/>
      <c r="M198" s="35"/>
      <c r="N198" s="35"/>
      <c r="O198" s="26"/>
      <c r="P198" s="23"/>
      <c r="Q198" s="24"/>
      <c r="R198" s="29"/>
      <c r="S198" s="29"/>
      <c r="T198" s="43"/>
      <c r="U198" s="29"/>
      <c r="V198" s="42"/>
      <c r="W198" s="29"/>
    </row>
    <row r="199" ht="15.75" customHeight="1">
      <c r="A199" s="29"/>
      <c r="B199" s="16"/>
      <c r="C199" s="29"/>
      <c r="D199" s="35"/>
      <c r="E199" s="18" t="s">
        <v>137</v>
      </c>
      <c r="F199" s="29"/>
      <c r="G199" s="19"/>
      <c r="H199" s="41"/>
      <c r="I199" s="25"/>
      <c r="J199" s="25"/>
      <c r="K199" s="41"/>
      <c r="L199" s="35"/>
      <c r="M199" s="35"/>
      <c r="N199" s="35"/>
      <c r="O199" s="26"/>
      <c r="P199" s="23"/>
      <c r="Q199" s="24"/>
      <c r="R199" s="29"/>
      <c r="S199" s="29"/>
      <c r="T199" s="43"/>
      <c r="U199" s="29"/>
      <c r="V199" s="42"/>
      <c r="W199" s="29"/>
    </row>
    <row r="200" ht="15.75" customHeight="1">
      <c r="A200" s="29"/>
      <c r="B200" s="16"/>
      <c r="C200" s="29"/>
      <c r="D200" s="35"/>
      <c r="E200" s="18" t="s">
        <v>137</v>
      </c>
      <c r="F200" s="29"/>
      <c r="G200" s="19"/>
      <c r="H200" s="41"/>
      <c r="I200" s="25"/>
      <c r="J200" s="25"/>
      <c r="K200" s="41"/>
      <c r="L200" s="35"/>
      <c r="M200" s="35"/>
      <c r="N200" s="35"/>
      <c r="O200" s="26"/>
      <c r="P200" s="23"/>
      <c r="Q200" s="24"/>
      <c r="R200" s="29"/>
      <c r="S200" s="29"/>
      <c r="T200" s="43"/>
      <c r="U200" s="29"/>
      <c r="V200" s="42"/>
      <c r="W200" s="29"/>
    </row>
    <row r="201" ht="15.75" customHeight="1">
      <c r="A201" s="29"/>
      <c r="B201" s="16"/>
      <c r="C201" s="29"/>
      <c r="D201" s="35"/>
      <c r="E201" s="18" t="s">
        <v>137</v>
      </c>
      <c r="F201" s="29"/>
      <c r="G201" s="19"/>
      <c r="H201" s="41"/>
      <c r="I201" s="25"/>
      <c r="J201" s="25"/>
      <c r="K201" s="41"/>
      <c r="L201" s="35"/>
      <c r="M201" s="35"/>
      <c r="N201" s="35"/>
      <c r="O201" s="26"/>
      <c r="P201" s="23"/>
      <c r="Q201" s="24"/>
      <c r="R201" s="29"/>
      <c r="S201" s="29"/>
      <c r="T201" s="43"/>
      <c r="U201" s="29"/>
      <c r="V201" s="42"/>
      <c r="W201" s="29"/>
    </row>
    <row r="202" ht="15.75" customHeight="1">
      <c r="A202" s="29"/>
      <c r="B202" s="16"/>
      <c r="C202" s="29"/>
      <c r="D202" s="35"/>
      <c r="E202" s="18" t="s">
        <v>137</v>
      </c>
      <c r="F202" s="29"/>
      <c r="G202" s="19"/>
      <c r="H202" s="41"/>
      <c r="I202" s="25"/>
      <c r="J202" s="25"/>
      <c r="K202" s="41"/>
      <c r="L202" s="35"/>
      <c r="M202" s="35"/>
      <c r="N202" s="35"/>
      <c r="O202" s="26"/>
      <c r="P202" s="23"/>
      <c r="Q202" s="24"/>
      <c r="R202" s="29"/>
      <c r="S202" s="29"/>
      <c r="T202" s="43"/>
      <c r="U202" s="29"/>
      <c r="V202" s="42"/>
      <c r="W202" s="29"/>
    </row>
    <row r="203" ht="15.75" customHeight="1">
      <c r="A203" s="29"/>
      <c r="B203" s="16"/>
      <c r="C203" s="29"/>
      <c r="D203" s="35"/>
      <c r="E203" s="18" t="s">
        <v>137</v>
      </c>
      <c r="F203" s="29"/>
      <c r="G203" s="19"/>
      <c r="H203" s="41"/>
      <c r="I203" s="25"/>
      <c r="J203" s="25"/>
      <c r="K203" s="41"/>
      <c r="L203" s="35"/>
      <c r="M203" s="35"/>
      <c r="N203" s="35"/>
      <c r="O203" s="26"/>
      <c r="P203" s="23"/>
      <c r="Q203" s="24"/>
      <c r="R203" s="29"/>
      <c r="S203" s="29"/>
      <c r="T203" s="43"/>
      <c r="U203" s="29"/>
      <c r="V203" s="42"/>
      <c r="W203" s="29"/>
    </row>
    <row r="204" ht="15.75" customHeight="1">
      <c r="A204" s="29"/>
      <c r="B204" s="16"/>
      <c r="C204" s="29"/>
      <c r="D204" s="35"/>
      <c r="E204" s="18" t="s">
        <v>137</v>
      </c>
      <c r="F204" s="29"/>
      <c r="G204" s="19"/>
      <c r="H204" s="41"/>
      <c r="I204" s="25"/>
      <c r="J204" s="25"/>
      <c r="K204" s="41"/>
      <c r="L204" s="35"/>
      <c r="M204" s="35"/>
      <c r="N204" s="35"/>
      <c r="O204" s="26"/>
      <c r="P204" s="23"/>
      <c r="Q204" s="24"/>
      <c r="R204" s="29"/>
      <c r="S204" s="29"/>
      <c r="T204" s="43"/>
      <c r="U204" s="29"/>
      <c r="V204" s="42"/>
      <c r="W204" s="29"/>
    </row>
    <row r="205" ht="15.75" customHeight="1">
      <c r="A205" s="29"/>
      <c r="B205" s="16"/>
      <c r="C205" s="29"/>
      <c r="D205" s="35"/>
      <c r="E205" s="18" t="s">
        <v>137</v>
      </c>
      <c r="F205" s="29"/>
      <c r="G205" s="19"/>
      <c r="H205" s="41"/>
      <c r="I205" s="25"/>
      <c r="J205" s="25"/>
      <c r="K205" s="41"/>
      <c r="L205" s="35"/>
      <c r="M205" s="35"/>
      <c r="N205" s="35"/>
      <c r="O205" s="26"/>
      <c r="P205" s="23"/>
      <c r="Q205" s="24"/>
      <c r="R205" s="29"/>
      <c r="S205" s="29"/>
      <c r="T205" s="43"/>
      <c r="U205" s="29"/>
      <c r="V205" s="42"/>
      <c r="W205" s="29"/>
    </row>
    <row r="206" ht="15.75" customHeight="1">
      <c r="A206" s="29"/>
      <c r="B206" s="16"/>
      <c r="C206" s="29"/>
      <c r="D206" s="35"/>
      <c r="E206" s="18" t="s">
        <v>137</v>
      </c>
      <c r="F206" s="29"/>
      <c r="G206" s="19"/>
      <c r="H206" s="41"/>
      <c r="I206" s="25"/>
      <c r="J206" s="25"/>
      <c r="K206" s="41"/>
      <c r="L206" s="35"/>
      <c r="M206" s="35"/>
      <c r="N206" s="35"/>
      <c r="O206" s="26"/>
      <c r="P206" s="23"/>
      <c r="Q206" s="24"/>
      <c r="R206" s="29"/>
      <c r="S206" s="29"/>
      <c r="T206" s="43"/>
      <c r="U206" s="29"/>
      <c r="V206" s="42"/>
      <c r="W206" s="29"/>
    </row>
    <row r="207" ht="15.75" customHeight="1">
      <c r="A207" s="29"/>
      <c r="B207" s="16"/>
      <c r="C207" s="29"/>
      <c r="D207" s="35"/>
      <c r="E207" s="18" t="s">
        <v>137</v>
      </c>
      <c r="F207" s="29"/>
      <c r="G207" s="19"/>
      <c r="H207" s="41"/>
      <c r="I207" s="25"/>
      <c r="J207" s="25"/>
      <c r="K207" s="41"/>
      <c r="L207" s="35"/>
      <c r="M207" s="35"/>
      <c r="N207" s="35"/>
      <c r="O207" s="26"/>
      <c r="P207" s="23"/>
      <c r="Q207" s="24"/>
      <c r="R207" s="29"/>
      <c r="S207" s="29"/>
      <c r="T207" s="43"/>
      <c r="U207" s="29"/>
      <c r="V207" s="42"/>
      <c r="W207" s="29"/>
    </row>
    <row r="208" ht="15.75" customHeight="1">
      <c r="A208" s="29"/>
      <c r="B208" s="16"/>
      <c r="C208" s="29"/>
      <c r="D208" s="35"/>
      <c r="E208" s="18" t="s">
        <v>137</v>
      </c>
      <c r="F208" s="29"/>
      <c r="G208" s="19"/>
      <c r="H208" s="41"/>
      <c r="I208" s="25"/>
      <c r="J208" s="25"/>
      <c r="K208" s="41"/>
      <c r="L208" s="35"/>
      <c r="M208" s="35"/>
      <c r="N208" s="35"/>
      <c r="O208" s="26"/>
      <c r="P208" s="23"/>
      <c r="Q208" s="24"/>
      <c r="R208" s="29"/>
      <c r="S208" s="29"/>
      <c r="T208" s="43"/>
      <c r="U208" s="29"/>
      <c r="V208" s="42"/>
      <c r="W208" s="29"/>
    </row>
    <row r="209" ht="15.75" customHeight="1">
      <c r="A209" s="29"/>
      <c r="B209" s="16"/>
      <c r="C209" s="29"/>
      <c r="D209" s="35"/>
      <c r="E209" s="18" t="s">
        <v>137</v>
      </c>
      <c r="F209" s="29"/>
      <c r="G209" s="19"/>
      <c r="H209" s="41"/>
      <c r="I209" s="25"/>
      <c r="J209" s="25"/>
      <c r="K209" s="41"/>
      <c r="L209" s="35"/>
      <c r="M209" s="35"/>
      <c r="N209" s="35"/>
      <c r="O209" s="26"/>
      <c r="P209" s="23"/>
      <c r="Q209" s="24"/>
      <c r="R209" s="29"/>
      <c r="S209" s="29"/>
      <c r="T209" s="43"/>
      <c r="U209" s="29"/>
      <c r="V209" s="42"/>
      <c r="W209" s="29"/>
    </row>
    <row r="210" ht="15.75" customHeight="1">
      <c r="A210" s="29"/>
      <c r="B210" s="16"/>
      <c r="C210" s="29"/>
      <c r="D210" s="35"/>
      <c r="E210" s="18" t="s">
        <v>137</v>
      </c>
      <c r="F210" s="29"/>
      <c r="G210" s="19"/>
      <c r="H210" s="41"/>
      <c r="I210" s="25"/>
      <c r="J210" s="25"/>
      <c r="K210" s="41"/>
      <c r="L210" s="35"/>
      <c r="M210" s="35"/>
      <c r="N210" s="35"/>
      <c r="O210" s="26"/>
      <c r="P210" s="23"/>
      <c r="Q210" s="24"/>
      <c r="R210" s="29"/>
      <c r="S210" s="29"/>
      <c r="T210" s="43"/>
      <c r="U210" s="29"/>
      <c r="V210" s="42"/>
      <c r="W210" s="29"/>
    </row>
    <row r="211" ht="15.75" customHeight="1">
      <c r="A211" s="29"/>
      <c r="B211" s="16"/>
      <c r="C211" s="29"/>
      <c r="D211" s="35"/>
      <c r="E211" s="18" t="s">
        <v>137</v>
      </c>
      <c r="F211" s="29"/>
      <c r="G211" s="19"/>
      <c r="H211" s="41"/>
      <c r="I211" s="25"/>
      <c r="J211" s="25"/>
      <c r="K211" s="41"/>
      <c r="L211" s="35"/>
      <c r="M211" s="35"/>
      <c r="N211" s="35"/>
      <c r="O211" s="26"/>
      <c r="P211" s="23"/>
      <c r="Q211" s="24"/>
      <c r="R211" s="29"/>
      <c r="S211" s="29"/>
      <c r="T211" s="43"/>
      <c r="U211" s="29"/>
      <c r="V211" s="42"/>
      <c r="W211" s="29"/>
    </row>
    <row r="212" ht="15.75" customHeight="1">
      <c r="A212" s="29"/>
      <c r="B212" s="16"/>
      <c r="C212" s="29"/>
      <c r="D212" s="35"/>
      <c r="E212" s="18" t="s">
        <v>137</v>
      </c>
      <c r="F212" s="29"/>
      <c r="G212" s="19"/>
      <c r="H212" s="41"/>
      <c r="I212" s="25"/>
      <c r="J212" s="25"/>
      <c r="K212" s="41"/>
      <c r="L212" s="35"/>
      <c r="M212" s="35"/>
      <c r="N212" s="35"/>
      <c r="O212" s="26"/>
      <c r="P212" s="23"/>
      <c r="Q212" s="24"/>
      <c r="R212" s="29"/>
      <c r="S212" s="29"/>
      <c r="T212" s="43"/>
      <c r="U212" s="29"/>
      <c r="V212" s="42"/>
      <c r="W212" s="29"/>
    </row>
    <row r="213" ht="15.75" customHeight="1">
      <c r="A213" s="29"/>
      <c r="B213" s="16"/>
      <c r="C213" s="29"/>
      <c r="D213" s="35"/>
      <c r="E213" s="18" t="s">
        <v>137</v>
      </c>
      <c r="F213" s="29"/>
      <c r="G213" s="19"/>
      <c r="H213" s="41"/>
      <c r="I213" s="25"/>
      <c r="J213" s="25"/>
      <c r="K213" s="41"/>
      <c r="L213" s="35"/>
      <c r="M213" s="35"/>
      <c r="N213" s="35"/>
      <c r="O213" s="26"/>
      <c r="P213" s="23"/>
      <c r="Q213" s="24"/>
      <c r="R213" s="29"/>
      <c r="S213" s="29"/>
      <c r="T213" s="43"/>
      <c r="U213" s="29"/>
      <c r="V213" s="42"/>
      <c r="W213" s="29"/>
    </row>
    <row r="214" ht="15.75" customHeight="1">
      <c r="A214" s="29"/>
      <c r="B214" s="16"/>
      <c r="C214" s="29"/>
      <c r="D214" s="35"/>
      <c r="E214" s="18" t="s">
        <v>137</v>
      </c>
      <c r="F214" s="29"/>
      <c r="G214" s="19"/>
      <c r="H214" s="41"/>
      <c r="I214" s="25"/>
      <c r="J214" s="25"/>
      <c r="K214" s="41"/>
      <c r="L214" s="35"/>
      <c r="M214" s="35"/>
      <c r="N214" s="35"/>
      <c r="O214" s="26"/>
      <c r="P214" s="23"/>
      <c r="Q214" s="24"/>
      <c r="R214" s="29"/>
      <c r="S214" s="29"/>
      <c r="T214" s="43"/>
      <c r="U214" s="29"/>
      <c r="V214" s="42"/>
      <c r="W214" s="29"/>
    </row>
    <row r="215" ht="15.75" customHeight="1">
      <c r="A215" s="29"/>
      <c r="B215" s="16"/>
      <c r="C215" s="29"/>
      <c r="D215" s="35"/>
      <c r="E215" s="18" t="s">
        <v>137</v>
      </c>
      <c r="F215" s="29"/>
      <c r="G215" s="19"/>
      <c r="H215" s="41"/>
      <c r="I215" s="25"/>
      <c r="J215" s="25"/>
      <c r="K215" s="41"/>
      <c r="L215" s="35"/>
      <c r="M215" s="35"/>
      <c r="N215" s="35"/>
      <c r="O215" s="26"/>
      <c r="P215" s="23"/>
      <c r="Q215" s="24"/>
      <c r="R215" s="29"/>
      <c r="S215" s="29"/>
      <c r="T215" s="43"/>
      <c r="U215" s="29"/>
      <c r="V215" s="42"/>
      <c r="W215" s="29"/>
    </row>
    <row r="216" ht="15.75" customHeight="1">
      <c r="A216" s="29"/>
      <c r="B216" s="16"/>
      <c r="C216" s="29"/>
      <c r="D216" s="35"/>
      <c r="E216" s="18" t="s">
        <v>137</v>
      </c>
      <c r="F216" s="29"/>
      <c r="G216" s="19"/>
      <c r="H216" s="41"/>
      <c r="I216" s="25"/>
      <c r="J216" s="25"/>
      <c r="K216" s="41"/>
      <c r="L216" s="35"/>
      <c r="M216" s="35"/>
      <c r="N216" s="35"/>
      <c r="O216" s="26"/>
      <c r="P216" s="23"/>
      <c r="Q216" s="24"/>
      <c r="R216" s="29"/>
      <c r="S216" s="29"/>
      <c r="T216" s="43"/>
      <c r="U216" s="29"/>
      <c r="V216" s="42"/>
      <c r="W216" s="29"/>
    </row>
    <row r="217" ht="15.75" customHeight="1">
      <c r="A217" s="29"/>
      <c r="B217" s="16"/>
      <c r="C217" s="29"/>
      <c r="D217" s="35"/>
      <c r="E217" s="18" t="s">
        <v>137</v>
      </c>
      <c r="F217" s="29"/>
      <c r="G217" s="19"/>
      <c r="H217" s="41"/>
      <c r="I217" s="25"/>
      <c r="J217" s="25"/>
      <c r="K217" s="41"/>
      <c r="L217" s="35"/>
      <c r="M217" s="35"/>
      <c r="N217" s="35"/>
      <c r="O217" s="26"/>
      <c r="P217" s="23"/>
      <c r="Q217" s="24"/>
      <c r="R217" s="29"/>
      <c r="S217" s="29"/>
      <c r="T217" s="43"/>
      <c r="U217" s="29"/>
      <c r="V217" s="42"/>
      <c r="W217" s="29"/>
    </row>
    <row r="218" ht="15.75" customHeight="1">
      <c r="A218" s="29"/>
      <c r="B218" s="16"/>
      <c r="C218" s="29"/>
      <c r="D218" s="35"/>
      <c r="E218" s="18" t="s">
        <v>137</v>
      </c>
      <c r="F218" s="29"/>
      <c r="G218" s="19"/>
      <c r="H218" s="41"/>
      <c r="I218" s="25"/>
      <c r="J218" s="25"/>
      <c r="K218" s="41"/>
      <c r="L218" s="35"/>
      <c r="M218" s="35"/>
      <c r="N218" s="35"/>
      <c r="O218" s="26"/>
      <c r="P218" s="23"/>
      <c r="Q218" s="24"/>
      <c r="R218" s="29"/>
      <c r="S218" s="29"/>
      <c r="T218" s="43"/>
      <c r="U218" s="29"/>
      <c r="V218" s="42"/>
      <c r="W218" s="29"/>
    </row>
    <row r="219" ht="15.75" customHeight="1">
      <c r="A219" s="29"/>
      <c r="B219" s="16"/>
      <c r="C219" s="29"/>
      <c r="D219" s="35"/>
      <c r="E219" s="18" t="s">
        <v>137</v>
      </c>
      <c r="F219" s="29"/>
      <c r="G219" s="19"/>
      <c r="H219" s="41"/>
      <c r="I219" s="25"/>
      <c r="J219" s="25"/>
      <c r="K219" s="41"/>
      <c r="L219" s="35"/>
      <c r="M219" s="35"/>
      <c r="N219" s="35"/>
      <c r="O219" s="26"/>
      <c r="P219" s="23"/>
      <c r="Q219" s="24"/>
      <c r="R219" s="29"/>
      <c r="S219" s="29"/>
      <c r="T219" s="43"/>
      <c r="U219" s="29"/>
      <c r="V219" s="42"/>
      <c r="W219" s="29"/>
    </row>
    <row r="220" ht="15.75" customHeight="1">
      <c r="A220" s="29"/>
      <c r="B220" s="16"/>
      <c r="C220" s="29"/>
      <c r="D220" s="35"/>
      <c r="E220" s="18" t="s">
        <v>137</v>
      </c>
      <c r="F220" s="29"/>
      <c r="G220" s="19"/>
      <c r="H220" s="41"/>
      <c r="I220" s="25"/>
      <c r="J220" s="25"/>
      <c r="K220" s="41"/>
      <c r="L220" s="35"/>
      <c r="M220" s="35"/>
      <c r="N220" s="35"/>
      <c r="O220" s="26"/>
      <c r="P220" s="23"/>
      <c r="Q220" s="24"/>
      <c r="R220" s="29"/>
      <c r="S220" s="29"/>
      <c r="T220" s="43"/>
      <c r="U220" s="29"/>
      <c r="V220" s="42"/>
      <c r="W220" s="29"/>
    </row>
    <row r="221" ht="15.75" customHeight="1">
      <c r="A221" s="29"/>
      <c r="B221" s="16"/>
      <c r="C221" s="29"/>
      <c r="D221" s="35"/>
      <c r="E221" s="18" t="s">
        <v>137</v>
      </c>
      <c r="F221" s="29"/>
      <c r="G221" s="19"/>
      <c r="H221" s="41"/>
      <c r="I221" s="25"/>
      <c r="J221" s="25"/>
      <c r="K221" s="41"/>
      <c r="L221" s="35"/>
      <c r="M221" s="35"/>
      <c r="N221" s="35"/>
      <c r="O221" s="26"/>
      <c r="P221" s="23"/>
      <c r="Q221" s="24"/>
      <c r="R221" s="29"/>
      <c r="S221" s="29"/>
      <c r="T221" s="43"/>
      <c r="U221" s="29"/>
      <c r="V221" s="42"/>
      <c r="W221" s="29"/>
    </row>
    <row r="222" ht="15.75" customHeight="1">
      <c r="A222" s="29"/>
      <c r="B222" s="16"/>
      <c r="C222" s="29"/>
      <c r="D222" s="35"/>
      <c r="E222" s="18" t="s">
        <v>137</v>
      </c>
      <c r="F222" s="29"/>
      <c r="G222" s="19"/>
      <c r="H222" s="41"/>
      <c r="I222" s="25"/>
      <c r="J222" s="25"/>
      <c r="K222" s="41"/>
      <c r="L222" s="35"/>
      <c r="M222" s="35"/>
      <c r="N222" s="35"/>
      <c r="O222" s="26"/>
      <c r="P222" s="23"/>
      <c r="Q222" s="24"/>
      <c r="R222" s="29"/>
      <c r="S222" s="29"/>
      <c r="T222" s="43"/>
      <c r="U222" s="29"/>
      <c r="V222" s="42"/>
      <c r="W222" s="29"/>
    </row>
    <row r="223" ht="15.75" customHeight="1">
      <c r="A223" s="29"/>
      <c r="B223" s="16"/>
      <c r="C223" s="29"/>
      <c r="D223" s="35"/>
      <c r="E223" s="18" t="s">
        <v>137</v>
      </c>
      <c r="F223" s="29"/>
      <c r="G223" s="19"/>
      <c r="H223" s="41"/>
      <c r="I223" s="25"/>
      <c r="J223" s="25"/>
      <c r="K223" s="41"/>
      <c r="L223" s="35"/>
      <c r="M223" s="35"/>
      <c r="N223" s="35"/>
      <c r="O223" s="26"/>
      <c r="P223" s="23"/>
      <c r="Q223" s="24"/>
      <c r="R223" s="29"/>
      <c r="S223" s="29"/>
      <c r="T223" s="43"/>
      <c r="U223" s="29"/>
      <c r="V223" s="42"/>
      <c r="W223" s="29"/>
    </row>
    <row r="224" ht="15.75" customHeight="1">
      <c r="A224" s="29"/>
      <c r="B224" s="16"/>
      <c r="C224" s="29"/>
      <c r="D224" s="35"/>
      <c r="E224" s="18" t="s">
        <v>137</v>
      </c>
      <c r="F224" s="29"/>
      <c r="G224" s="19"/>
      <c r="H224" s="41"/>
      <c r="I224" s="25"/>
      <c r="J224" s="25"/>
      <c r="K224" s="41"/>
      <c r="L224" s="35"/>
      <c r="M224" s="35"/>
      <c r="N224" s="35"/>
      <c r="O224" s="26"/>
      <c r="P224" s="23"/>
      <c r="Q224" s="24"/>
      <c r="R224" s="29"/>
      <c r="S224" s="29"/>
      <c r="T224" s="43"/>
      <c r="U224" s="29"/>
      <c r="V224" s="42"/>
      <c r="W224" s="29"/>
    </row>
    <row r="225" ht="15.75" customHeight="1">
      <c r="A225" s="29"/>
      <c r="B225" s="16"/>
      <c r="C225" s="29"/>
      <c r="D225" s="35"/>
      <c r="E225" s="18" t="s">
        <v>137</v>
      </c>
      <c r="F225" s="29"/>
      <c r="G225" s="19"/>
      <c r="H225" s="41"/>
      <c r="I225" s="25"/>
      <c r="J225" s="25"/>
      <c r="K225" s="41"/>
      <c r="L225" s="35"/>
      <c r="M225" s="35"/>
      <c r="N225" s="35"/>
      <c r="O225" s="26"/>
      <c r="P225" s="23"/>
      <c r="Q225" s="24"/>
      <c r="R225" s="29"/>
      <c r="S225" s="29"/>
      <c r="T225" s="43"/>
      <c r="U225" s="29"/>
      <c r="V225" s="42"/>
      <c r="W225" s="29"/>
    </row>
    <row r="226" ht="15.75" customHeight="1">
      <c r="A226" s="29"/>
      <c r="B226" s="16"/>
      <c r="C226" s="29"/>
      <c r="D226" s="35"/>
      <c r="E226" s="18" t="s">
        <v>137</v>
      </c>
      <c r="F226" s="29"/>
      <c r="G226" s="19"/>
      <c r="H226" s="41"/>
      <c r="I226" s="25"/>
      <c r="J226" s="25"/>
      <c r="K226" s="41"/>
      <c r="L226" s="35"/>
      <c r="M226" s="35"/>
      <c r="N226" s="35"/>
      <c r="O226" s="26"/>
      <c r="P226" s="23"/>
      <c r="Q226" s="24"/>
      <c r="R226" s="29"/>
      <c r="S226" s="29"/>
      <c r="T226" s="43"/>
      <c r="U226" s="29"/>
      <c r="V226" s="42"/>
      <c r="W226" s="29"/>
    </row>
    <row r="227" ht="15.75" customHeight="1">
      <c r="A227" s="29"/>
      <c r="B227" s="16"/>
      <c r="C227" s="29"/>
      <c r="D227" s="35"/>
      <c r="E227" s="18" t="s">
        <v>137</v>
      </c>
      <c r="F227" s="29"/>
      <c r="G227" s="19"/>
      <c r="H227" s="41"/>
      <c r="I227" s="25"/>
      <c r="J227" s="25"/>
      <c r="K227" s="41"/>
      <c r="L227" s="35"/>
      <c r="M227" s="35"/>
      <c r="N227" s="35"/>
      <c r="O227" s="26"/>
      <c r="P227" s="23"/>
      <c r="Q227" s="24"/>
      <c r="R227" s="29"/>
      <c r="S227" s="29"/>
      <c r="T227" s="43"/>
      <c r="U227" s="29"/>
      <c r="V227" s="42"/>
      <c r="W227" s="29"/>
    </row>
    <row r="228" ht="15.75" customHeight="1">
      <c r="A228" s="29"/>
      <c r="B228" s="16"/>
      <c r="C228" s="29"/>
      <c r="D228" s="35"/>
      <c r="E228" s="18" t="s">
        <v>137</v>
      </c>
      <c r="F228" s="29"/>
      <c r="G228" s="19"/>
      <c r="H228" s="41"/>
      <c r="I228" s="25"/>
      <c r="J228" s="25"/>
      <c r="K228" s="41"/>
      <c r="L228" s="35"/>
      <c r="M228" s="35"/>
      <c r="N228" s="35"/>
      <c r="O228" s="26"/>
      <c r="P228" s="23"/>
      <c r="Q228" s="24"/>
      <c r="R228" s="29"/>
      <c r="S228" s="29"/>
      <c r="T228" s="43"/>
      <c r="U228" s="29"/>
      <c r="V228" s="42"/>
      <c r="W228" s="29"/>
    </row>
    <row r="229" ht="15.75" customHeight="1">
      <c r="A229" s="29"/>
      <c r="B229" s="16"/>
      <c r="C229" s="29"/>
      <c r="D229" s="35"/>
      <c r="E229" s="18" t="s">
        <v>137</v>
      </c>
      <c r="F229" s="29"/>
      <c r="G229" s="19"/>
      <c r="H229" s="41"/>
      <c r="I229" s="25"/>
      <c r="J229" s="25"/>
      <c r="K229" s="41"/>
      <c r="L229" s="35"/>
      <c r="M229" s="35"/>
      <c r="N229" s="35"/>
      <c r="O229" s="26"/>
      <c r="P229" s="23"/>
      <c r="Q229" s="24"/>
      <c r="R229" s="29"/>
      <c r="S229" s="29"/>
      <c r="T229" s="43"/>
      <c r="U229" s="29"/>
      <c r="V229" s="42"/>
      <c r="W229" s="29"/>
    </row>
    <row r="230" ht="15.75" customHeight="1">
      <c r="A230" s="29"/>
      <c r="B230" s="16"/>
      <c r="C230" s="29"/>
      <c r="D230" s="35"/>
      <c r="E230" s="18" t="s">
        <v>137</v>
      </c>
      <c r="F230" s="29"/>
      <c r="G230" s="19"/>
      <c r="H230" s="41"/>
      <c r="I230" s="25"/>
      <c r="J230" s="25"/>
      <c r="K230" s="41"/>
      <c r="L230" s="35"/>
      <c r="M230" s="35"/>
      <c r="N230" s="35"/>
      <c r="O230" s="26"/>
      <c r="P230" s="23"/>
      <c r="Q230" s="24"/>
      <c r="R230" s="29"/>
      <c r="S230" s="29"/>
      <c r="T230" s="43"/>
      <c r="U230" s="29"/>
      <c r="V230" s="42"/>
      <c r="W230" s="29"/>
    </row>
    <row r="231" ht="15.75" customHeight="1">
      <c r="A231" s="29"/>
      <c r="B231" s="16"/>
      <c r="C231" s="29"/>
      <c r="D231" s="35"/>
      <c r="E231" s="18" t="s">
        <v>137</v>
      </c>
      <c r="F231" s="29"/>
      <c r="G231" s="19"/>
      <c r="H231" s="41"/>
      <c r="I231" s="25"/>
      <c r="J231" s="25"/>
      <c r="K231" s="41"/>
      <c r="L231" s="35"/>
      <c r="M231" s="35"/>
      <c r="N231" s="35"/>
      <c r="O231" s="26"/>
      <c r="P231" s="23"/>
      <c r="Q231" s="24"/>
      <c r="R231" s="29"/>
      <c r="S231" s="29"/>
      <c r="T231" s="43"/>
      <c r="U231" s="29"/>
      <c r="V231" s="42"/>
      <c r="W231" s="29"/>
    </row>
    <row r="232" ht="15.75" customHeight="1">
      <c r="A232" s="29"/>
      <c r="B232" s="16"/>
      <c r="C232" s="29"/>
      <c r="D232" s="35"/>
      <c r="E232" s="18" t="s">
        <v>137</v>
      </c>
      <c r="F232" s="29"/>
      <c r="G232" s="19"/>
      <c r="H232" s="41"/>
      <c r="I232" s="25"/>
      <c r="J232" s="25"/>
      <c r="K232" s="41"/>
      <c r="L232" s="35"/>
      <c r="M232" s="35"/>
      <c r="N232" s="35"/>
      <c r="O232" s="26"/>
      <c r="P232" s="23"/>
      <c r="Q232" s="24"/>
      <c r="R232" s="29"/>
      <c r="S232" s="29"/>
      <c r="T232" s="43"/>
      <c r="U232" s="29"/>
      <c r="V232" s="42"/>
      <c r="W232" s="29"/>
    </row>
    <row r="233" ht="15.75" customHeight="1">
      <c r="A233" s="29"/>
      <c r="B233" s="16"/>
      <c r="C233" s="29"/>
      <c r="D233" s="35"/>
      <c r="E233" s="18" t="s">
        <v>137</v>
      </c>
      <c r="F233" s="29"/>
      <c r="G233" s="19"/>
      <c r="H233" s="41"/>
      <c r="I233" s="25"/>
      <c r="J233" s="25"/>
      <c r="K233" s="41"/>
      <c r="L233" s="35"/>
      <c r="M233" s="35"/>
      <c r="N233" s="35"/>
      <c r="O233" s="26"/>
      <c r="P233" s="23"/>
      <c r="Q233" s="24"/>
      <c r="R233" s="29"/>
      <c r="S233" s="29"/>
      <c r="T233" s="43"/>
      <c r="U233" s="29"/>
      <c r="V233" s="42"/>
      <c r="W233" s="29"/>
    </row>
    <row r="234" ht="15.75" customHeight="1">
      <c r="A234" s="29"/>
      <c r="B234" s="16"/>
      <c r="C234" s="29"/>
      <c r="D234" s="35"/>
      <c r="E234" s="18" t="s">
        <v>137</v>
      </c>
      <c r="F234" s="29"/>
      <c r="G234" s="19"/>
      <c r="H234" s="41"/>
      <c r="I234" s="25"/>
      <c r="J234" s="25"/>
      <c r="K234" s="41"/>
      <c r="L234" s="35"/>
      <c r="M234" s="35"/>
      <c r="N234" s="35"/>
      <c r="O234" s="26"/>
      <c r="P234" s="23"/>
      <c r="Q234" s="24"/>
      <c r="R234" s="29"/>
      <c r="S234" s="29"/>
      <c r="T234" s="43"/>
      <c r="U234" s="29"/>
      <c r="V234" s="42"/>
      <c r="W234" s="29"/>
    </row>
    <row r="235" ht="15.75" customHeight="1">
      <c r="A235" s="29"/>
      <c r="B235" s="16"/>
      <c r="C235" s="29"/>
      <c r="D235" s="35"/>
      <c r="E235" s="18" t="s">
        <v>137</v>
      </c>
      <c r="F235" s="29"/>
      <c r="G235" s="19"/>
      <c r="H235" s="41"/>
      <c r="I235" s="25"/>
      <c r="J235" s="25"/>
      <c r="K235" s="41"/>
      <c r="L235" s="35"/>
      <c r="M235" s="35"/>
      <c r="N235" s="35"/>
      <c r="O235" s="26"/>
      <c r="P235" s="23"/>
      <c r="Q235" s="24"/>
      <c r="R235" s="29"/>
      <c r="S235" s="29"/>
      <c r="T235" s="43"/>
      <c r="U235" s="29"/>
      <c r="V235" s="42"/>
      <c r="W235" s="29"/>
    </row>
    <row r="236" ht="15.75" customHeight="1">
      <c r="A236" s="29"/>
      <c r="B236" s="16"/>
      <c r="C236" s="29"/>
      <c r="D236" s="35"/>
      <c r="E236" s="18" t="s">
        <v>137</v>
      </c>
      <c r="F236" s="29"/>
      <c r="G236" s="19"/>
      <c r="H236" s="41"/>
      <c r="I236" s="25"/>
      <c r="J236" s="25"/>
      <c r="K236" s="41"/>
      <c r="L236" s="35"/>
      <c r="M236" s="35"/>
      <c r="N236" s="35"/>
      <c r="O236" s="26"/>
      <c r="P236" s="23"/>
      <c r="Q236" s="24"/>
      <c r="R236" s="29"/>
      <c r="S236" s="29"/>
      <c r="T236" s="43"/>
      <c r="U236" s="29"/>
      <c r="V236" s="42"/>
      <c r="W236" s="29"/>
    </row>
    <row r="237" ht="15.75" customHeight="1">
      <c r="A237" s="29"/>
      <c r="B237" s="16"/>
      <c r="C237" s="29"/>
      <c r="D237" s="35"/>
      <c r="E237" s="35"/>
      <c r="F237" s="29"/>
      <c r="G237" s="19"/>
      <c r="H237" s="41"/>
      <c r="I237" s="25"/>
      <c r="J237" s="25"/>
      <c r="K237" s="41"/>
      <c r="L237" s="35"/>
      <c r="M237" s="35"/>
      <c r="N237" s="35"/>
      <c r="O237" s="26"/>
      <c r="P237" s="23"/>
      <c r="Q237" s="24"/>
      <c r="R237" s="29"/>
      <c r="S237" s="29"/>
      <c r="T237" s="43"/>
      <c r="U237" s="29"/>
      <c r="V237" s="42"/>
      <c r="W237" s="29"/>
    </row>
    <row r="238" ht="15.75" customHeight="1">
      <c r="A238" s="29"/>
      <c r="B238" s="16"/>
      <c r="C238" s="29"/>
      <c r="D238" s="35"/>
      <c r="E238" s="35"/>
      <c r="F238" s="29"/>
      <c r="G238" s="19"/>
      <c r="H238" s="41"/>
      <c r="I238" s="25"/>
      <c r="J238" s="25"/>
      <c r="K238" s="41"/>
      <c r="L238" s="35"/>
      <c r="M238" s="35"/>
      <c r="N238" s="35"/>
      <c r="O238" s="26"/>
      <c r="P238" s="23"/>
      <c r="Q238" s="24"/>
      <c r="R238" s="29"/>
      <c r="S238" s="29"/>
      <c r="T238" s="43"/>
      <c r="U238" s="29"/>
      <c r="V238" s="42"/>
      <c r="W238" s="29"/>
    </row>
    <row r="239" ht="15.75" customHeight="1">
      <c r="A239" s="29"/>
      <c r="B239" s="16"/>
      <c r="C239" s="29"/>
      <c r="D239" s="35"/>
      <c r="E239" s="35"/>
      <c r="F239" s="29"/>
      <c r="G239" s="19"/>
      <c r="H239" s="41"/>
      <c r="I239" s="25"/>
      <c r="J239" s="25"/>
      <c r="K239" s="41"/>
      <c r="L239" s="35"/>
      <c r="M239" s="35"/>
      <c r="N239" s="35"/>
      <c r="O239" s="26"/>
      <c r="P239" s="23"/>
      <c r="Q239" s="24"/>
      <c r="R239" s="29"/>
      <c r="S239" s="29"/>
      <c r="T239" s="43"/>
      <c r="U239" s="29"/>
      <c r="V239" s="42"/>
      <c r="W239" s="29"/>
    </row>
    <row r="240" ht="15.75" customHeight="1">
      <c r="A240" s="29"/>
      <c r="B240" s="16"/>
      <c r="C240" s="29"/>
      <c r="D240" s="35"/>
      <c r="E240" s="35"/>
      <c r="F240" s="29"/>
      <c r="G240" s="19"/>
      <c r="H240" s="41"/>
      <c r="I240" s="25"/>
      <c r="J240" s="25"/>
      <c r="K240" s="41"/>
      <c r="L240" s="35"/>
      <c r="M240" s="35"/>
      <c r="N240" s="35"/>
      <c r="O240" s="26"/>
      <c r="P240" s="23"/>
      <c r="Q240" s="24"/>
      <c r="R240" s="29"/>
      <c r="S240" s="29"/>
      <c r="T240" s="43"/>
      <c r="U240" s="29"/>
      <c r="V240" s="42"/>
      <c r="W240" s="29"/>
    </row>
    <row r="241" ht="15.75" customHeight="1">
      <c r="A241" s="29"/>
      <c r="B241" s="16"/>
      <c r="C241" s="29"/>
      <c r="D241" s="35"/>
      <c r="E241" s="35"/>
      <c r="F241" s="29"/>
      <c r="G241" s="19"/>
      <c r="H241" s="41"/>
      <c r="I241" s="25"/>
      <c r="J241" s="25"/>
      <c r="K241" s="41"/>
      <c r="L241" s="35"/>
      <c r="M241" s="35"/>
      <c r="N241" s="35"/>
      <c r="O241" s="26"/>
      <c r="P241" s="23"/>
      <c r="Q241" s="24"/>
      <c r="R241" s="29"/>
      <c r="S241" s="29"/>
      <c r="T241" s="43"/>
      <c r="U241" s="29"/>
      <c r="V241" s="42"/>
      <c r="W241" s="29"/>
    </row>
    <row r="242" ht="15.75" customHeight="1">
      <c r="A242" s="29"/>
      <c r="B242" s="16"/>
      <c r="C242" s="29"/>
      <c r="D242" s="35"/>
      <c r="E242" s="35"/>
      <c r="F242" s="29"/>
      <c r="G242" s="19"/>
      <c r="H242" s="41"/>
      <c r="I242" s="25"/>
      <c r="J242" s="25"/>
      <c r="K242" s="41"/>
      <c r="L242" s="35"/>
      <c r="M242" s="35"/>
      <c r="N242" s="35"/>
      <c r="O242" s="26"/>
      <c r="P242" s="23"/>
      <c r="Q242" s="24"/>
      <c r="R242" s="29"/>
      <c r="S242" s="29"/>
      <c r="T242" s="43"/>
      <c r="U242" s="29"/>
      <c r="V242" s="42"/>
      <c r="W242" s="29"/>
    </row>
    <row r="243" ht="15.75" customHeight="1">
      <c r="A243" s="29"/>
      <c r="B243" s="16"/>
      <c r="C243" s="29"/>
      <c r="D243" s="35"/>
      <c r="E243" s="35"/>
      <c r="F243" s="29"/>
      <c r="G243" s="19"/>
      <c r="H243" s="41"/>
      <c r="I243" s="25"/>
      <c r="J243" s="25"/>
      <c r="K243" s="41"/>
      <c r="L243" s="35"/>
      <c r="M243" s="35"/>
      <c r="N243" s="35"/>
      <c r="O243" s="26"/>
      <c r="P243" s="23"/>
      <c r="Q243" s="24"/>
      <c r="R243" s="29"/>
      <c r="S243" s="29"/>
      <c r="T243" s="43"/>
      <c r="U243" s="29"/>
      <c r="V243" s="42"/>
      <c r="W243" s="29"/>
    </row>
    <row r="244" ht="15.75" customHeight="1">
      <c r="A244" s="29"/>
      <c r="B244" s="16"/>
      <c r="C244" s="29"/>
      <c r="D244" s="35"/>
      <c r="E244" s="35"/>
      <c r="F244" s="29"/>
      <c r="G244" s="19"/>
      <c r="H244" s="41"/>
      <c r="I244" s="25"/>
      <c r="J244" s="25"/>
      <c r="K244" s="41"/>
      <c r="L244" s="35"/>
      <c r="M244" s="35"/>
      <c r="N244" s="35"/>
      <c r="O244" s="26"/>
      <c r="P244" s="23"/>
      <c r="Q244" s="24"/>
      <c r="R244" s="29"/>
      <c r="S244" s="29"/>
      <c r="T244" s="43"/>
      <c r="U244" s="29"/>
      <c r="V244" s="42"/>
      <c r="W244" s="29"/>
    </row>
    <row r="245" ht="15.75" customHeight="1">
      <c r="A245" s="29"/>
      <c r="B245" s="16"/>
      <c r="C245" s="29"/>
      <c r="D245" s="35"/>
      <c r="E245" s="35"/>
      <c r="F245" s="29"/>
      <c r="G245" s="19"/>
      <c r="H245" s="41"/>
      <c r="I245" s="25"/>
      <c r="J245" s="25"/>
      <c r="K245" s="41"/>
      <c r="L245" s="35"/>
      <c r="M245" s="35"/>
      <c r="N245" s="35"/>
      <c r="O245" s="26"/>
      <c r="P245" s="23"/>
      <c r="Q245" s="24"/>
      <c r="R245" s="29"/>
      <c r="S245" s="29"/>
      <c r="T245" s="43"/>
      <c r="U245" s="29"/>
      <c r="V245" s="42"/>
      <c r="W245" s="29"/>
    </row>
    <row r="246" ht="15.75" customHeight="1">
      <c r="A246" s="29"/>
      <c r="B246" s="16"/>
      <c r="C246" s="29"/>
      <c r="D246" s="35"/>
      <c r="E246" s="35"/>
      <c r="F246" s="29"/>
      <c r="G246" s="19"/>
      <c r="H246" s="41"/>
      <c r="I246" s="25"/>
      <c r="J246" s="25"/>
      <c r="K246" s="41"/>
      <c r="L246" s="35"/>
      <c r="M246" s="35"/>
      <c r="N246" s="35"/>
      <c r="O246" s="26"/>
      <c r="P246" s="23"/>
      <c r="Q246" s="24"/>
      <c r="R246" s="29"/>
      <c r="S246" s="29"/>
      <c r="T246" s="43"/>
      <c r="U246" s="29"/>
      <c r="V246" s="42"/>
      <c r="W246" s="29"/>
    </row>
    <row r="247" ht="15.75" customHeight="1">
      <c r="A247" s="29"/>
      <c r="B247" s="16"/>
      <c r="C247" s="29"/>
      <c r="D247" s="35"/>
      <c r="E247" s="35"/>
      <c r="F247" s="29"/>
      <c r="G247" s="19"/>
      <c r="H247" s="41"/>
      <c r="I247" s="25"/>
      <c r="J247" s="25"/>
      <c r="K247" s="41"/>
      <c r="L247" s="35"/>
      <c r="M247" s="35"/>
      <c r="N247" s="35"/>
      <c r="O247" s="26"/>
      <c r="P247" s="23"/>
      <c r="Q247" s="24"/>
      <c r="R247" s="29"/>
      <c r="S247" s="29"/>
      <c r="T247" s="43"/>
      <c r="U247" s="29"/>
      <c r="V247" s="42"/>
      <c r="W247" s="29"/>
    </row>
    <row r="248" ht="15.75" customHeight="1">
      <c r="A248" s="29"/>
      <c r="B248" s="16"/>
      <c r="C248" s="29"/>
      <c r="D248" s="35"/>
      <c r="E248" s="35"/>
      <c r="F248" s="29"/>
      <c r="G248" s="19"/>
      <c r="H248" s="41"/>
      <c r="I248" s="25"/>
      <c r="J248" s="25"/>
      <c r="K248" s="41"/>
      <c r="L248" s="35"/>
      <c r="M248" s="35"/>
      <c r="N248" s="35"/>
      <c r="O248" s="26"/>
      <c r="P248" s="23"/>
      <c r="Q248" s="24"/>
      <c r="R248" s="29"/>
      <c r="S248" s="29"/>
      <c r="T248" s="43"/>
      <c r="U248" s="29"/>
      <c r="V248" s="42"/>
      <c r="W248" s="29"/>
    </row>
    <row r="249" ht="15.75" customHeight="1">
      <c r="A249" s="29"/>
      <c r="B249" s="16"/>
      <c r="C249" s="29"/>
      <c r="D249" s="35"/>
      <c r="E249" s="35"/>
      <c r="F249" s="29"/>
      <c r="G249" s="19"/>
      <c r="H249" s="41"/>
      <c r="I249" s="25"/>
      <c r="J249" s="25"/>
      <c r="K249" s="41"/>
      <c r="L249" s="35"/>
      <c r="M249" s="35"/>
      <c r="N249" s="35"/>
      <c r="O249" s="26"/>
      <c r="P249" s="23"/>
      <c r="Q249" s="24"/>
      <c r="R249" s="29"/>
      <c r="S249" s="29"/>
      <c r="T249" s="43"/>
      <c r="U249" s="29"/>
      <c r="V249" s="42"/>
      <c r="W249" s="29"/>
    </row>
    <row r="250" ht="15.75" customHeight="1">
      <c r="A250" s="29"/>
      <c r="B250" s="16"/>
      <c r="C250" s="29"/>
      <c r="D250" s="35"/>
      <c r="E250" s="35"/>
      <c r="F250" s="29"/>
      <c r="G250" s="19"/>
      <c r="H250" s="41"/>
      <c r="I250" s="25"/>
      <c r="J250" s="25"/>
      <c r="K250" s="41"/>
      <c r="L250" s="35"/>
      <c r="M250" s="35"/>
      <c r="N250" s="35"/>
      <c r="O250" s="26"/>
      <c r="P250" s="23"/>
      <c r="Q250" s="24"/>
      <c r="R250" s="29"/>
      <c r="S250" s="29"/>
      <c r="T250" s="43"/>
      <c r="U250" s="29"/>
      <c r="V250" s="42"/>
      <c r="W250" s="29"/>
    </row>
    <row r="251" ht="15.75" customHeight="1">
      <c r="A251" s="29"/>
      <c r="B251" s="16"/>
      <c r="C251" s="29"/>
      <c r="D251" s="35"/>
      <c r="E251" s="35"/>
      <c r="F251" s="29"/>
      <c r="G251" s="19"/>
      <c r="H251" s="41"/>
      <c r="I251" s="25"/>
      <c r="J251" s="25"/>
      <c r="K251" s="41"/>
      <c r="L251" s="35"/>
      <c r="M251" s="35"/>
      <c r="N251" s="35"/>
      <c r="O251" s="26"/>
      <c r="P251" s="23"/>
      <c r="Q251" s="24"/>
      <c r="R251" s="29"/>
      <c r="S251" s="29"/>
      <c r="T251" s="43"/>
      <c r="U251" s="29"/>
      <c r="V251" s="42"/>
      <c r="W251" s="29"/>
    </row>
    <row r="252" ht="15.75" customHeight="1">
      <c r="A252" s="29"/>
      <c r="B252" s="16"/>
      <c r="C252" s="29"/>
      <c r="D252" s="35"/>
      <c r="E252" s="35"/>
      <c r="F252" s="29"/>
      <c r="G252" s="19"/>
      <c r="H252" s="41"/>
      <c r="I252" s="25"/>
      <c r="J252" s="25"/>
      <c r="K252" s="41"/>
      <c r="L252" s="35"/>
      <c r="M252" s="35"/>
      <c r="N252" s="35"/>
      <c r="O252" s="26"/>
      <c r="P252" s="23"/>
      <c r="Q252" s="24"/>
      <c r="R252" s="29"/>
      <c r="S252" s="29"/>
      <c r="T252" s="43"/>
      <c r="U252" s="29"/>
      <c r="V252" s="42"/>
      <c r="W252" s="29"/>
    </row>
    <row r="253" ht="15.75" customHeight="1">
      <c r="A253" s="29"/>
      <c r="B253" s="16"/>
      <c r="C253" s="29"/>
      <c r="D253" s="35"/>
      <c r="E253" s="35"/>
      <c r="F253" s="29"/>
      <c r="G253" s="19"/>
      <c r="H253" s="41"/>
      <c r="I253" s="25"/>
      <c r="J253" s="25"/>
      <c r="K253" s="41"/>
      <c r="L253" s="35"/>
      <c r="M253" s="35"/>
      <c r="N253" s="35"/>
      <c r="O253" s="26"/>
      <c r="P253" s="23"/>
      <c r="Q253" s="24"/>
      <c r="R253" s="29"/>
      <c r="S253" s="29"/>
      <c r="T253" s="43"/>
      <c r="U253" s="29"/>
      <c r="V253" s="42"/>
      <c r="W253" s="29"/>
    </row>
    <row r="254" ht="15.75" customHeight="1">
      <c r="A254" s="29"/>
      <c r="B254" s="16"/>
      <c r="C254" s="29"/>
      <c r="D254" s="35"/>
      <c r="E254" s="35"/>
      <c r="F254" s="29"/>
      <c r="G254" s="19"/>
      <c r="H254" s="41"/>
      <c r="I254" s="25"/>
      <c r="J254" s="25"/>
      <c r="K254" s="41"/>
      <c r="L254" s="35"/>
      <c r="M254" s="35"/>
      <c r="N254" s="35"/>
      <c r="O254" s="26"/>
      <c r="P254" s="23"/>
      <c r="Q254" s="24"/>
      <c r="R254" s="29"/>
      <c r="S254" s="29"/>
      <c r="T254" s="43"/>
      <c r="U254" s="29"/>
      <c r="V254" s="42"/>
      <c r="W254" s="29"/>
    </row>
    <row r="255" ht="15.75" customHeight="1">
      <c r="A255" s="29"/>
      <c r="B255" s="16"/>
      <c r="C255" s="29"/>
      <c r="D255" s="35"/>
      <c r="E255" s="35"/>
      <c r="F255" s="29"/>
      <c r="G255" s="19"/>
      <c r="H255" s="41"/>
      <c r="I255" s="25"/>
      <c r="J255" s="25"/>
      <c r="K255" s="41"/>
      <c r="L255" s="35"/>
      <c r="M255" s="35"/>
      <c r="N255" s="35"/>
      <c r="O255" s="26"/>
      <c r="P255" s="23"/>
      <c r="Q255" s="24"/>
      <c r="R255" s="29"/>
      <c r="S255" s="29"/>
      <c r="T255" s="43"/>
      <c r="U255" s="29"/>
      <c r="V255" s="42"/>
      <c r="W255" s="29"/>
    </row>
    <row r="256" ht="15.75" customHeight="1">
      <c r="A256" s="29"/>
      <c r="B256" s="16"/>
      <c r="C256" s="29"/>
      <c r="D256" s="35"/>
      <c r="E256" s="35"/>
      <c r="F256" s="29"/>
      <c r="G256" s="19"/>
      <c r="H256" s="41"/>
      <c r="I256" s="25"/>
      <c r="J256" s="25"/>
      <c r="K256" s="41"/>
      <c r="L256" s="35"/>
      <c r="M256" s="35"/>
      <c r="N256" s="35"/>
      <c r="O256" s="26"/>
      <c r="P256" s="23"/>
      <c r="Q256" s="24"/>
      <c r="R256" s="29"/>
      <c r="S256" s="29"/>
      <c r="T256" s="43"/>
      <c r="U256" s="29"/>
      <c r="V256" s="42"/>
      <c r="W256" s="29"/>
    </row>
    <row r="257" ht="15.75" customHeight="1">
      <c r="A257" s="29"/>
      <c r="B257" s="16"/>
      <c r="C257" s="29"/>
      <c r="D257" s="35"/>
      <c r="E257" s="35"/>
      <c r="F257" s="29"/>
      <c r="G257" s="19"/>
      <c r="H257" s="41"/>
      <c r="I257" s="25"/>
      <c r="J257" s="25"/>
      <c r="K257" s="41"/>
      <c r="L257" s="35"/>
      <c r="M257" s="35"/>
      <c r="N257" s="35"/>
      <c r="O257" s="26"/>
      <c r="P257" s="23"/>
      <c r="Q257" s="24"/>
      <c r="R257" s="29"/>
      <c r="S257" s="29"/>
      <c r="T257" s="43"/>
      <c r="U257" s="29"/>
      <c r="V257" s="42"/>
      <c r="W257" s="29"/>
    </row>
    <row r="258" ht="15.75" customHeight="1">
      <c r="A258" s="29"/>
      <c r="B258" s="16"/>
      <c r="C258" s="29"/>
      <c r="D258" s="35"/>
      <c r="E258" s="35"/>
      <c r="F258" s="29"/>
      <c r="G258" s="19"/>
      <c r="H258" s="41"/>
      <c r="I258" s="25"/>
      <c r="J258" s="25"/>
      <c r="K258" s="41"/>
      <c r="L258" s="35"/>
      <c r="M258" s="35"/>
      <c r="N258" s="35"/>
      <c r="O258" s="26"/>
      <c r="P258" s="23"/>
      <c r="Q258" s="24"/>
      <c r="R258" s="29"/>
      <c r="S258" s="29"/>
      <c r="T258" s="43"/>
      <c r="U258" s="29"/>
      <c r="V258" s="42"/>
      <c r="W258" s="29"/>
    </row>
    <row r="259" ht="15.75" customHeight="1">
      <c r="A259" s="29"/>
      <c r="B259" s="16"/>
      <c r="C259" s="29"/>
      <c r="D259" s="35"/>
      <c r="E259" s="35"/>
      <c r="F259" s="29"/>
      <c r="G259" s="19"/>
      <c r="H259" s="41"/>
      <c r="I259" s="25"/>
      <c r="J259" s="25"/>
      <c r="K259" s="41"/>
      <c r="L259" s="35"/>
      <c r="M259" s="35"/>
      <c r="N259" s="35"/>
      <c r="O259" s="26"/>
      <c r="P259" s="23"/>
      <c r="Q259" s="24"/>
      <c r="R259" s="29"/>
      <c r="S259" s="29"/>
      <c r="T259" s="43"/>
      <c r="U259" s="29"/>
      <c r="V259" s="42"/>
      <c r="W259" s="29"/>
    </row>
    <row r="260" ht="15.75" customHeight="1">
      <c r="A260" s="29"/>
      <c r="B260" s="16"/>
      <c r="C260" s="29"/>
      <c r="D260" s="35"/>
      <c r="E260" s="35"/>
      <c r="F260" s="29"/>
      <c r="G260" s="19"/>
      <c r="H260" s="41"/>
      <c r="I260" s="25"/>
      <c r="J260" s="25"/>
      <c r="K260" s="41"/>
      <c r="L260" s="35"/>
      <c r="M260" s="35"/>
      <c r="N260" s="35"/>
      <c r="O260" s="26"/>
      <c r="P260" s="23"/>
      <c r="Q260" s="24"/>
      <c r="R260" s="29"/>
      <c r="S260" s="29"/>
      <c r="T260" s="43"/>
      <c r="U260" s="29"/>
      <c r="V260" s="42"/>
      <c r="W260" s="29"/>
    </row>
    <row r="261" ht="15.75" customHeight="1">
      <c r="A261" s="29"/>
      <c r="B261" s="16"/>
      <c r="C261" s="29"/>
      <c r="D261" s="35"/>
      <c r="E261" s="35"/>
      <c r="F261" s="29"/>
      <c r="G261" s="19"/>
      <c r="H261" s="41"/>
      <c r="I261" s="25"/>
      <c r="J261" s="25"/>
      <c r="K261" s="41"/>
      <c r="L261" s="35"/>
      <c r="M261" s="35"/>
      <c r="N261" s="35"/>
      <c r="O261" s="26"/>
      <c r="P261" s="23"/>
      <c r="Q261" s="24"/>
      <c r="R261" s="29"/>
      <c r="S261" s="29"/>
      <c r="T261" s="43"/>
      <c r="U261" s="29"/>
      <c r="V261" s="42"/>
      <c r="W261" s="29"/>
    </row>
    <row r="262" ht="15.75" customHeight="1">
      <c r="A262" s="29"/>
      <c r="B262" s="16"/>
      <c r="C262" s="29"/>
      <c r="D262" s="35"/>
      <c r="E262" s="35"/>
      <c r="F262" s="29"/>
      <c r="G262" s="19"/>
      <c r="H262" s="41"/>
      <c r="I262" s="25"/>
      <c r="J262" s="25"/>
      <c r="K262" s="41"/>
      <c r="L262" s="35"/>
      <c r="M262" s="35"/>
      <c r="N262" s="35"/>
      <c r="O262" s="26"/>
      <c r="P262" s="23"/>
      <c r="Q262" s="24"/>
      <c r="R262" s="29"/>
      <c r="S262" s="29"/>
      <c r="T262" s="43"/>
      <c r="U262" s="29"/>
      <c r="V262" s="42"/>
      <c r="W262" s="29"/>
    </row>
    <row r="263" ht="15.75" customHeight="1">
      <c r="A263" s="29"/>
      <c r="B263" s="16"/>
      <c r="C263" s="29"/>
      <c r="D263" s="35"/>
      <c r="E263" s="35"/>
      <c r="F263" s="29"/>
      <c r="G263" s="19"/>
      <c r="H263" s="41"/>
      <c r="I263" s="25"/>
      <c r="J263" s="25"/>
      <c r="K263" s="41"/>
      <c r="L263" s="35"/>
      <c r="M263" s="35"/>
      <c r="N263" s="35"/>
      <c r="O263" s="26"/>
      <c r="P263" s="23"/>
      <c r="Q263" s="24"/>
      <c r="R263" s="29"/>
      <c r="S263" s="29"/>
      <c r="T263" s="43"/>
      <c r="U263" s="29"/>
      <c r="V263" s="42"/>
      <c r="W263" s="29"/>
    </row>
    <row r="264" ht="15.75" customHeight="1">
      <c r="A264" s="29"/>
      <c r="B264" s="16"/>
      <c r="C264" s="29"/>
      <c r="D264" s="35"/>
      <c r="E264" s="35"/>
      <c r="F264" s="29"/>
      <c r="G264" s="19"/>
      <c r="H264" s="41"/>
      <c r="I264" s="25"/>
      <c r="J264" s="25"/>
      <c r="K264" s="41"/>
      <c r="L264" s="35"/>
      <c r="M264" s="35"/>
      <c r="N264" s="35"/>
      <c r="O264" s="26"/>
      <c r="P264" s="23"/>
      <c r="Q264" s="24"/>
      <c r="R264" s="29"/>
      <c r="S264" s="29"/>
      <c r="T264" s="43"/>
      <c r="U264" s="29"/>
      <c r="V264" s="42"/>
      <c r="W264" s="29"/>
    </row>
    <row r="265" ht="15.75" customHeight="1">
      <c r="A265" s="29"/>
      <c r="B265" s="16"/>
      <c r="C265" s="29"/>
      <c r="D265" s="35"/>
      <c r="E265" s="35"/>
      <c r="F265" s="29"/>
      <c r="G265" s="19"/>
      <c r="H265" s="41"/>
      <c r="I265" s="25"/>
      <c r="J265" s="25"/>
      <c r="K265" s="41"/>
      <c r="L265" s="35"/>
      <c r="M265" s="35"/>
      <c r="N265" s="35"/>
      <c r="O265" s="26"/>
      <c r="P265" s="23"/>
      <c r="Q265" s="24"/>
      <c r="R265" s="29"/>
      <c r="S265" s="29"/>
      <c r="T265" s="43"/>
      <c r="U265" s="29"/>
      <c r="V265" s="42"/>
      <c r="W265" s="29"/>
    </row>
    <row r="266" ht="15.75" customHeight="1">
      <c r="A266" s="29"/>
      <c r="B266" s="16"/>
      <c r="C266" s="29"/>
      <c r="D266" s="35"/>
      <c r="E266" s="35"/>
      <c r="F266" s="29"/>
      <c r="G266" s="19"/>
      <c r="H266" s="41"/>
      <c r="I266" s="25"/>
      <c r="J266" s="25"/>
      <c r="K266" s="41"/>
      <c r="L266" s="35"/>
      <c r="M266" s="35"/>
      <c r="N266" s="35"/>
      <c r="O266" s="26"/>
      <c r="P266" s="23"/>
      <c r="Q266" s="24"/>
      <c r="R266" s="29"/>
      <c r="S266" s="29"/>
      <c r="T266" s="43"/>
      <c r="U266" s="29"/>
      <c r="V266" s="42"/>
      <c r="W266" s="29"/>
    </row>
    <row r="267" ht="15.75" customHeight="1">
      <c r="A267" s="29"/>
      <c r="B267" s="16"/>
      <c r="C267" s="29"/>
      <c r="D267" s="35"/>
      <c r="E267" s="35"/>
      <c r="F267" s="29"/>
      <c r="G267" s="19"/>
      <c r="H267" s="41"/>
      <c r="I267" s="25"/>
      <c r="J267" s="25"/>
      <c r="K267" s="41"/>
      <c r="L267" s="35"/>
      <c r="M267" s="35"/>
      <c r="N267" s="35"/>
      <c r="O267" s="26"/>
      <c r="P267" s="23"/>
      <c r="Q267" s="24"/>
      <c r="R267" s="29"/>
      <c r="S267" s="29"/>
      <c r="T267" s="43"/>
      <c r="U267" s="29"/>
      <c r="V267" s="42"/>
      <c r="W267" s="29"/>
    </row>
    <row r="268" ht="15.75" customHeight="1">
      <c r="A268" s="29"/>
      <c r="B268" s="16"/>
      <c r="C268" s="29"/>
      <c r="D268" s="35"/>
      <c r="E268" s="35"/>
      <c r="F268" s="29"/>
      <c r="G268" s="19"/>
      <c r="H268" s="41"/>
      <c r="I268" s="25"/>
      <c r="J268" s="25"/>
      <c r="K268" s="41"/>
      <c r="L268" s="35"/>
      <c r="M268" s="35"/>
      <c r="N268" s="35"/>
      <c r="O268" s="26"/>
      <c r="P268" s="23"/>
      <c r="Q268" s="24"/>
      <c r="R268" s="29"/>
      <c r="S268" s="29"/>
      <c r="T268" s="43"/>
      <c r="U268" s="29"/>
      <c r="V268" s="42"/>
      <c r="W268" s="29"/>
    </row>
    <row r="269" ht="15.75" customHeight="1">
      <c r="A269" s="29"/>
      <c r="B269" s="16"/>
      <c r="C269" s="29"/>
      <c r="D269" s="35"/>
      <c r="E269" s="35"/>
      <c r="F269" s="29"/>
      <c r="G269" s="19"/>
      <c r="H269" s="41"/>
      <c r="I269" s="25"/>
      <c r="J269" s="25"/>
      <c r="K269" s="41"/>
      <c r="L269" s="35"/>
      <c r="M269" s="35"/>
      <c r="N269" s="35"/>
      <c r="O269" s="26"/>
      <c r="P269" s="23"/>
      <c r="Q269" s="24"/>
      <c r="R269" s="29"/>
      <c r="S269" s="29"/>
      <c r="T269" s="43"/>
      <c r="U269" s="29"/>
      <c r="V269" s="42"/>
      <c r="W269" s="29"/>
    </row>
    <row r="270" ht="15.75" customHeight="1">
      <c r="A270" s="29"/>
      <c r="B270" s="16"/>
      <c r="C270" s="29"/>
      <c r="D270" s="35"/>
      <c r="E270" s="35"/>
      <c r="F270" s="29"/>
      <c r="G270" s="19"/>
      <c r="H270" s="41"/>
      <c r="I270" s="25"/>
      <c r="J270" s="25"/>
      <c r="K270" s="41"/>
      <c r="L270" s="35"/>
      <c r="M270" s="35"/>
      <c r="N270" s="35"/>
      <c r="O270" s="26"/>
      <c r="P270" s="23"/>
      <c r="Q270" s="24"/>
      <c r="R270" s="29"/>
      <c r="S270" s="29"/>
      <c r="T270" s="43"/>
      <c r="U270" s="29"/>
      <c r="V270" s="42"/>
      <c r="W270" s="29"/>
    </row>
    <row r="271" ht="15.75" customHeight="1">
      <c r="A271" s="29"/>
      <c r="B271" s="16"/>
      <c r="C271" s="29"/>
      <c r="D271" s="35"/>
      <c r="E271" s="35"/>
      <c r="F271" s="29"/>
      <c r="G271" s="19"/>
      <c r="H271" s="41"/>
      <c r="I271" s="25"/>
      <c r="J271" s="25"/>
      <c r="K271" s="41"/>
      <c r="L271" s="35"/>
      <c r="M271" s="35"/>
      <c r="N271" s="35"/>
      <c r="O271" s="26"/>
      <c r="P271" s="23"/>
      <c r="Q271" s="24"/>
      <c r="R271" s="29"/>
      <c r="S271" s="29"/>
      <c r="T271" s="43"/>
      <c r="U271" s="29"/>
      <c r="V271" s="42"/>
      <c r="W271" s="29"/>
    </row>
    <row r="272" ht="15.75" customHeight="1">
      <c r="A272" s="29"/>
      <c r="B272" s="16"/>
      <c r="C272" s="29"/>
      <c r="D272" s="35"/>
      <c r="E272" s="35"/>
      <c r="F272" s="29"/>
      <c r="G272" s="19"/>
      <c r="H272" s="41"/>
      <c r="I272" s="25"/>
      <c r="J272" s="25"/>
      <c r="K272" s="41"/>
      <c r="L272" s="35"/>
      <c r="M272" s="35"/>
      <c r="N272" s="35"/>
      <c r="O272" s="26"/>
      <c r="P272" s="23"/>
      <c r="Q272" s="24"/>
      <c r="R272" s="29"/>
      <c r="S272" s="29"/>
      <c r="T272" s="43"/>
      <c r="U272" s="29"/>
      <c r="V272" s="42"/>
      <c r="W272" s="29"/>
    </row>
    <row r="273" ht="15.75" customHeight="1">
      <c r="A273" s="29"/>
      <c r="B273" s="16"/>
      <c r="C273" s="29"/>
      <c r="D273" s="35"/>
      <c r="E273" s="35"/>
      <c r="F273" s="29"/>
      <c r="G273" s="19"/>
      <c r="H273" s="41"/>
      <c r="I273" s="25"/>
      <c r="J273" s="25"/>
      <c r="K273" s="41"/>
      <c r="L273" s="35"/>
      <c r="M273" s="35"/>
      <c r="N273" s="35"/>
      <c r="O273" s="26"/>
      <c r="P273" s="23"/>
      <c r="Q273" s="24"/>
      <c r="R273" s="29"/>
      <c r="S273" s="29"/>
      <c r="T273" s="43"/>
      <c r="U273" s="29"/>
      <c r="V273" s="42"/>
      <c r="W273" s="29"/>
    </row>
    <row r="274" ht="15.75" customHeight="1">
      <c r="A274" s="29"/>
      <c r="B274" s="16"/>
      <c r="C274" s="29"/>
      <c r="D274" s="35"/>
      <c r="E274" s="35"/>
      <c r="F274" s="29"/>
      <c r="G274" s="19"/>
      <c r="H274" s="41"/>
      <c r="I274" s="25"/>
      <c r="J274" s="25"/>
      <c r="K274" s="41"/>
      <c r="L274" s="35"/>
      <c r="M274" s="35"/>
      <c r="N274" s="35"/>
      <c r="O274" s="26"/>
      <c r="P274" s="23"/>
      <c r="Q274" s="24"/>
      <c r="R274" s="29"/>
      <c r="S274" s="29"/>
      <c r="T274" s="43"/>
      <c r="U274" s="29"/>
      <c r="V274" s="42"/>
      <c r="W274" s="29"/>
    </row>
    <row r="275" ht="15.75" customHeight="1">
      <c r="A275" s="29"/>
      <c r="B275" s="16"/>
      <c r="C275" s="29"/>
      <c r="D275" s="35"/>
      <c r="E275" s="35"/>
      <c r="F275" s="29"/>
      <c r="G275" s="19"/>
      <c r="H275" s="41"/>
      <c r="I275" s="25"/>
      <c r="J275" s="25"/>
      <c r="K275" s="41"/>
      <c r="L275" s="35"/>
      <c r="M275" s="35"/>
      <c r="N275" s="35"/>
      <c r="O275" s="26"/>
      <c r="P275" s="23"/>
      <c r="Q275" s="24"/>
      <c r="R275" s="29"/>
      <c r="S275" s="29"/>
      <c r="T275" s="43"/>
      <c r="U275" s="29"/>
      <c r="V275" s="42"/>
      <c r="W275" s="29"/>
    </row>
    <row r="276" ht="15.75" customHeight="1">
      <c r="A276" s="29"/>
      <c r="B276" s="16"/>
      <c r="C276" s="29"/>
      <c r="D276" s="35"/>
      <c r="E276" s="35"/>
      <c r="F276" s="29"/>
      <c r="G276" s="19"/>
      <c r="H276" s="41"/>
      <c r="I276" s="25"/>
      <c r="J276" s="25"/>
      <c r="K276" s="41"/>
      <c r="L276" s="35"/>
      <c r="M276" s="35"/>
      <c r="N276" s="35"/>
      <c r="O276" s="26"/>
      <c r="P276" s="23"/>
      <c r="Q276" s="24"/>
      <c r="R276" s="29"/>
      <c r="S276" s="29"/>
      <c r="T276" s="43"/>
      <c r="U276" s="29"/>
      <c r="V276" s="42"/>
      <c r="W276" s="29"/>
    </row>
    <row r="277" ht="15.75" customHeight="1">
      <c r="A277" s="29"/>
      <c r="B277" s="16"/>
      <c r="C277" s="29"/>
      <c r="D277" s="35"/>
      <c r="E277" s="35"/>
      <c r="F277" s="29"/>
      <c r="G277" s="19"/>
      <c r="H277" s="41"/>
      <c r="I277" s="25"/>
      <c r="J277" s="25"/>
      <c r="K277" s="41"/>
      <c r="L277" s="35"/>
      <c r="M277" s="35"/>
      <c r="N277" s="35"/>
      <c r="O277" s="26"/>
      <c r="P277" s="23"/>
      <c r="Q277" s="24"/>
      <c r="R277" s="29"/>
      <c r="S277" s="29"/>
      <c r="T277" s="43"/>
      <c r="U277" s="29"/>
      <c r="V277" s="42"/>
      <c r="W277" s="29"/>
    </row>
    <row r="278" ht="15.75" customHeight="1">
      <c r="A278" s="29"/>
      <c r="B278" s="16"/>
      <c r="C278" s="29"/>
      <c r="D278" s="35"/>
      <c r="E278" s="35"/>
      <c r="F278" s="29"/>
      <c r="G278" s="19"/>
      <c r="H278" s="41"/>
      <c r="I278" s="25"/>
      <c r="J278" s="25"/>
      <c r="K278" s="41"/>
      <c r="L278" s="35"/>
      <c r="M278" s="35"/>
      <c r="N278" s="35"/>
      <c r="O278" s="26"/>
      <c r="P278" s="23"/>
      <c r="Q278" s="24"/>
      <c r="R278" s="29"/>
      <c r="S278" s="29"/>
      <c r="T278" s="43"/>
      <c r="U278" s="29"/>
      <c r="V278" s="42"/>
      <c r="W278" s="29"/>
    </row>
    <row r="279" ht="15.75" customHeight="1">
      <c r="A279" s="29"/>
      <c r="B279" s="16"/>
      <c r="C279" s="29"/>
      <c r="D279" s="35"/>
      <c r="E279" s="35"/>
      <c r="F279" s="29"/>
      <c r="G279" s="19"/>
      <c r="H279" s="41"/>
      <c r="I279" s="25"/>
      <c r="J279" s="25"/>
      <c r="K279" s="41"/>
      <c r="L279" s="35"/>
      <c r="M279" s="35"/>
      <c r="N279" s="35"/>
      <c r="O279" s="26"/>
      <c r="P279" s="23"/>
      <c r="Q279" s="24"/>
      <c r="R279" s="29"/>
      <c r="S279" s="29"/>
      <c r="T279" s="43"/>
      <c r="U279" s="29"/>
      <c r="V279" s="42"/>
      <c r="W279" s="29"/>
    </row>
    <row r="280" ht="15.75" customHeight="1">
      <c r="A280" s="29"/>
      <c r="B280" s="16"/>
      <c r="C280" s="29"/>
      <c r="D280" s="35"/>
      <c r="E280" s="35"/>
      <c r="F280" s="29"/>
      <c r="G280" s="19"/>
      <c r="H280" s="41"/>
      <c r="I280" s="25"/>
      <c r="J280" s="25"/>
      <c r="K280" s="41"/>
      <c r="L280" s="35"/>
      <c r="M280" s="35"/>
      <c r="N280" s="35"/>
      <c r="O280" s="26"/>
      <c r="P280" s="23"/>
      <c r="Q280" s="24"/>
      <c r="R280" s="29"/>
      <c r="S280" s="29"/>
      <c r="T280" s="43"/>
      <c r="U280" s="29"/>
      <c r="V280" s="42"/>
      <c r="W280" s="29"/>
    </row>
    <row r="281" ht="15.75" customHeight="1">
      <c r="A281" s="29"/>
      <c r="B281" s="16"/>
      <c r="C281" s="29"/>
      <c r="D281" s="35"/>
      <c r="E281" s="35"/>
      <c r="F281" s="29"/>
      <c r="G281" s="19"/>
      <c r="H281" s="41"/>
      <c r="I281" s="25"/>
      <c r="J281" s="25"/>
      <c r="K281" s="41"/>
      <c r="L281" s="35"/>
      <c r="M281" s="35"/>
      <c r="N281" s="35"/>
      <c r="O281" s="26"/>
      <c r="P281" s="23"/>
      <c r="Q281" s="24"/>
      <c r="R281" s="29"/>
      <c r="S281" s="29"/>
      <c r="T281" s="43"/>
      <c r="U281" s="29"/>
      <c r="V281" s="42"/>
      <c r="W281" s="29"/>
    </row>
    <row r="282" ht="15.75" customHeight="1">
      <c r="A282" s="29"/>
      <c r="B282" s="16"/>
      <c r="C282" s="29"/>
      <c r="D282" s="35"/>
      <c r="E282" s="35"/>
      <c r="F282" s="29"/>
      <c r="G282" s="19"/>
      <c r="H282" s="41"/>
      <c r="I282" s="25"/>
      <c r="J282" s="25"/>
      <c r="K282" s="41"/>
      <c r="L282" s="35"/>
      <c r="M282" s="35"/>
      <c r="N282" s="35"/>
      <c r="O282" s="26"/>
      <c r="P282" s="23"/>
      <c r="Q282" s="24"/>
      <c r="R282" s="29"/>
      <c r="S282" s="29"/>
      <c r="T282" s="43"/>
      <c r="U282" s="29"/>
      <c r="V282" s="42"/>
      <c r="W282" s="29"/>
    </row>
    <row r="283" ht="15.75" customHeight="1">
      <c r="A283" s="29"/>
      <c r="B283" s="16"/>
      <c r="C283" s="29"/>
      <c r="D283" s="35"/>
      <c r="E283" s="35"/>
      <c r="F283" s="29"/>
      <c r="G283" s="19"/>
      <c r="H283" s="41"/>
      <c r="I283" s="25"/>
      <c r="J283" s="25"/>
      <c r="K283" s="41"/>
      <c r="L283" s="35"/>
      <c r="M283" s="35"/>
      <c r="N283" s="35"/>
      <c r="O283" s="26"/>
      <c r="P283" s="23"/>
      <c r="Q283" s="24"/>
      <c r="R283" s="29"/>
      <c r="S283" s="29"/>
      <c r="T283" s="43"/>
      <c r="U283" s="29"/>
      <c r="V283" s="42"/>
      <c r="W283" s="29"/>
    </row>
    <row r="284" ht="15.75" customHeight="1">
      <c r="A284" s="29"/>
      <c r="B284" s="16"/>
      <c r="C284" s="29"/>
      <c r="D284" s="35"/>
      <c r="E284" s="35"/>
      <c r="F284" s="29"/>
      <c r="G284" s="19"/>
      <c r="H284" s="41"/>
      <c r="I284" s="25"/>
      <c r="J284" s="25"/>
      <c r="K284" s="41"/>
      <c r="L284" s="35"/>
      <c r="M284" s="35"/>
      <c r="N284" s="35"/>
      <c r="O284" s="26"/>
      <c r="P284" s="23"/>
      <c r="Q284" s="24"/>
      <c r="R284" s="29"/>
      <c r="S284" s="29"/>
      <c r="T284" s="43"/>
      <c r="U284" s="29"/>
      <c r="V284" s="42"/>
      <c r="W284" s="29"/>
    </row>
    <row r="285" ht="15.75" customHeight="1">
      <c r="A285" s="29"/>
      <c r="B285" s="16"/>
      <c r="C285" s="29"/>
      <c r="D285" s="35"/>
      <c r="E285" s="35"/>
      <c r="F285" s="29"/>
      <c r="G285" s="19"/>
      <c r="H285" s="41"/>
      <c r="I285" s="25"/>
      <c r="J285" s="25"/>
      <c r="K285" s="41"/>
      <c r="L285" s="35"/>
      <c r="M285" s="35"/>
      <c r="N285" s="35"/>
      <c r="O285" s="26"/>
      <c r="P285" s="23"/>
      <c r="Q285" s="24"/>
      <c r="R285" s="29"/>
      <c r="S285" s="29"/>
      <c r="T285" s="43"/>
      <c r="U285" s="29"/>
      <c r="V285" s="42"/>
      <c r="W285" s="29"/>
    </row>
    <row r="286" ht="15.75" customHeight="1">
      <c r="A286" s="29"/>
      <c r="B286" s="16"/>
      <c r="C286" s="29"/>
      <c r="D286" s="35"/>
      <c r="E286" s="35"/>
      <c r="F286" s="29"/>
      <c r="G286" s="19"/>
      <c r="H286" s="41"/>
      <c r="I286" s="25"/>
      <c r="J286" s="25"/>
      <c r="K286" s="41"/>
      <c r="L286" s="35"/>
      <c r="M286" s="35"/>
      <c r="N286" s="35"/>
      <c r="O286" s="26"/>
      <c r="P286" s="23"/>
      <c r="Q286" s="24"/>
      <c r="R286" s="29"/>
      <c r="S286" s="29"/>
      <c r="T286" s="43"/>
      <c r="U286" s="29"/>
      <c r="V286" s="42"/>
      <c r="W286" s="29"/>
    </row>
    <row r="287" ht="15.75" customHeight="1">
      <c r="A287" s="29"/>
      <c r="B287" s="16"/>
      <c r="C287" s="29"/>
      <c r="D287" s="35"/>
      <c r="E287" s="35"/>
      <c r="F287" s="29"/>
      <c r="G287" s="19"/>
      <c r="H287" s="41"/>
      <c r="I287" s="25"/>
      <c r="J287" s="25"/>
      <c r="K287" s="41"/>
      <c r="L287" s="35"/>
      <c r="M287" s="35"/>
      <c r="N287" s="35"/>
      <c r="O287" s="26"/>
      <c r="P287" s="23"/>
      <c r="Q287" s="24"/>
      <c r="R287" s="29"/>
      <c r="S287" s="29"/>
      <c r="T287" s="43"/>
      <c r="U287" s="29"/>
      <c r="V287" s="42"/>
      <c r="W287" s="29"/>
    </row>
    <row r="288" ht="15.75" customHeight="1">
      <c r="A288" s="29"/>
      <c r="B288" s="16"/>
      <c r="C288" s="29"/>
      <c r="D288" s="35"/>
      <c r="E288" s="35"/>
      <c r="F288" s="29"/>
      <c r="G288" s="19"/>
      <c r="H288" s="41"/>
      <c r="I288" s="25"/>
      <c r="J288" s="25"/>
      <c r="K288" s="41"/>
      <c r="L288" s="35"/>
      <c r="M288" s="35"/>
      <c r="N288" s="35"/>
      <c r="O288" s="26"/>
      <c r="P288" s="23"/>
      <c r="Q288" s="24"/>
      <c r="R288" s="29"/>
      <c r="S288" s="29"/>
      <c r="T288" s="43"/>
      <c r="U288" s="29"/>
      <c r="V288" s="42"/>
      <c r="W288" s="29"/>
    </row>
    <row r="289" ht="15.75" customHeight="1">
      <c r="A289" s="29"/>
      <c r="B289" s="16"/>
      <c r="C289" s="29"/>
      <c r="D289" s="35"/>
      <c r="E289" s="35"/>
      <c r="F289" s="29"/>
      <c r="G289" s="19"/>
      <c r="H289" s="41"/>
      <c r="I289" s="25"/>
      <c r="J289" s="25"/>
      <c r="K289" s="41"/>
      <c r="L289" s="35"/>
      <c r="M289" s="35"/>
      <c r="N289" s="35"/>
      <c r="O289" s="26"/>
      <c r="P289" s="23"/>
      <c r="Q289" s="24"/>
      <c r="R289" s="29"/>
      <c r="S289" s="29"/>
      <c r="T289" s="43"/>
      <c r="U289" s="29"/>
      <c r="V289" s="42"/>
      <c r="W289" s="29"/>
    </row>
    <row r="290" ht="15.75" customHeight="1">
      <c r="A290" s="29"/>
      <c r="B290" s="16"/>
      <c r="C290" s="29"/>
      <c r="D290" s="35"/>
      <c r="E290" s="35"/>
      <c r="F290" s="29"/>
      <c r="G290" s="19"/>
      <c r="H290" s="41"/>
      <c r="I290" s="25"/>
      <c r="J290" s="25"/>
      <c r="K290" s="41"/>
      <c r="L290" s="35"/>
      <c r="M290" s="35"/>
      <c r="N290" s="35"/>
      <c r="O290" s="26"/>
      <c r="P290" s="23"/>
      <c r="Q290" s="24"/>
      <c r="R290" s="29"/>
      <c r="S290" s="29"/>
      <c r="T290" s="43"/>
      <c r="U290" s="29"/>
      <c r="V290" s="42"/>
      <c r="W290" s="29"/>
    </row>
    <row r="291" ht="15.75" customHeight="1">
      <c r="A291" s="29"/>
      <c r="B291" s="16"/>
      <c r="C291" s="29"/>
      <c r="D291" s="35"/>
      <c r="E291" s="35"/>
      <c r="F291" s="29"/>
      <c r="G291" s="19"/>
      <c r="H291" s="41"/>
      <c r="I291" s="25"/>
      <c r="J291" s="25"/>
      <c r="K291" s="41"/>
      <c r="L291" s="35"/>
      <c r="M291" s="35"/>
      <c r="N291" s="35"/>
      <c r="O291" s="26"/>
      <c r="P291" s="23"/>
      <c r="Q291" s="24"/>
      <c r="R291" s="29"/>
      <c r="S291" s="29"/>
      <c r="T291" s="43"/>
      <c r="U291" s="29"/>
      <c r="V291" s="42"/>
      <c r="W291" s="29"/>
    </row>
    <row r="292" ht="15.75" customHeight="1">
      <c r="A292" s="29"/>
      <c r="B292" s="16"/>
      <c r="C292" s="29"/>
      <c r="D292" s="35"/>
      <c r="E292" s="35"/>
      <c r="F292" s="29"/>
      <c r="G292" s="19"/>
      <c r="H292" s="41"/>
      <c r="I292" s="25"/>
      <c r="J292" s="25"/>
      <c r="K292" s="41"/>
      <c r="L292" s="35"/>
      <c r="M292" s="35"/>
      <c r="N292" s="35"/>
      <c r="O292" s="26"/>
      <c r="P292" s="23"/>
      <c r="Q292" s="24"/>
      <c r="R292" s="29"/>
      <c r="S292" s="29"/>
      <c r="T292" s="43"/>
      <c r="U292" s="29"/>
      <c r="V292" s="42"/>
      <c r="W292" s="29"/>
    </row>
    <row r="293" ht="15.75" customHeight="1">
      <c r="A293" s="29"/>
      <c r="B293" s="16"/>
      <c r="C293" s="29"/>
      <c r="D293" s="35"/>
      <c r="E293" s="35"/>
      <c r="F293" s="29"/>
      <c r="G293" s="19"/>
      <c r="H293" s="41"/>
      <c r="I293" s="25"/>
      <c r="J293" s="25"/>
      <c r="K293" s="41"/>
      <c r="L293" s="35"/>
      <c r="M293" s="35"/>
      <c r="N293" s="35"/>
      <c r="O293" s="26"/>
      <c r="P293" s="23"/>
      <c r="Q293" s="24"/>
      <c r="R293" s="29"/>
      <c r="S293" s="29"/>
      <c r="T293" s="43"/>
      <c r="U293" s="29"/>
      <c r="V293" s="42"/>
      <c r="W293" s="29"/>
    </row>
    <row r="294" ht="15.75" customHeight="1">
      <c r="A294" s="29"/>
      <c r="B294" s="16"/>
      <c r="C294" s="29"/>
      <c r="D294" s="35"/>
      <c r="E294" s="35"/>
      <c r="F294" s="29"/>
      <c r="G294" s="19"/>
      <c r="H294" s="41"/>
      <c r="I294" s="25"/>
      <c r="J294" s="25"/>
      <c r="K294" s="41"/>
      <c r="L294" s="35"/>
      <c r="M294" s="35"/>
      <c r="N294" s="35"/>
      <c r="O294" s="26"/>
      <c r="P294" s="23"/>
      <c r="Q294" s="24"/>
      <c r="R294" s="29"/>
      <c r="S294" s="29"/>
      <c r="T294" s="43"/>
      <c r="U294" s="29"/>
      <c r="V294" s="42"/>
      <c r="W294" s="29"/>
    </row>
    <row r="295" ht="15.75" customHeight="1">
      <c r="A295" s="29"/>
      <c r="B295" s="16"/>
      <c r="C295" s="29"/>
      <c r="D295" s="35"/>
      <c r="E295" s="35"/>
      <c r="F295" s="29"/>
      <c r="G295" s="19"/>
      <c r="H295" s="41"/>
      <c r="I295" s="25"/>
      <c r="J295" s="25"/>
      <c r="K295" s="41"/>
      <c r="L295" s="35"/>
      <c r="M295" s="35"/>
      <c r="N295" s="35"/>
      <c r="O295" s="26"/>
      <c r="P295" s="23"/>
      <c r="Q295" s="24"/>
      <c r="R295" s="29"/>
      <c r="S295" s="29"/>
      <c r="T295" s="43"/>
      <c r="U295" s="29"/>
      <c r="V295" s="42"/>
      <c r="W295" s="29"/>
    </row>
    <row r="296" ht="15.75" customHeight="1">
      <c r="A296" s="29"/>
      <c r="B296" s="16"/>
      <c r="C296" s="29"/>
      <c r="D296" s="35"/>
      <c r="E296" s="35"/>
      <c r="F296" s="29"/>
      <c r="G296" s="19"/>
      <c r="H296" s="41"/>
      <c r="I296" s="25"/>
      <c r="J296" s="25"/>
      <c r="K296" s="41"/>
      <c r="L296" s="35"/>
      <c r="M296" s="35"/>
      <c r="N296" s="35"/>
      <c r="O296" s="26"/>
      <c r="P296" s="23"/>
      <c r="Q296" s="24"/>
      <c r="R296" s="29"/>
      <c r="S296" s="29"/>
      <c r="T296" s="43"/>
      <c r="U296" s="29"/>
      <c r="V296" s="42"/>
      <c r="W296" s="29"/>
    </row>
    <row r="297" ht="15.75" customHeight="1">
      <c r="A297" s="29"/>
      <c r="B297" s="16"/>
      <c r="C297" s="29"/>
      <c r="D297" s="35"/>
      <c r="E297" s="35"/>
      <c r="F297" s="29"/>
      <c r="G297" s="19"/>
      <c r="H297" s="41"/>
      <c r="I297" s="25"/>
      <c r="J297" s="25"/>
      <c r="K297" s="41"/>
      <c r="L297" s="35"/>
      <c r="M297" s="35"/>
      <c r="N297" s="35"/>
      <c r="O297" s="26"/>
      <c r="P297" s="23"/>
      <c r="Q297" s="24"/>
      <c r="R297" s="29"/>
      <c r="S297" s="29"/>
      <c r="T297" s="43"/>
      <c r="U297" s="29"/>
      <c r="V297" s="42"/>
      <c r="W297" s="29"/>
    </row>
    <row r="298" ht="15.75" customHeight="1">
      <c r="A298" s="29"/>
      <c r="B298" s="16"/>
      <c r="C298" s="29"/>
      <c r="D298" s="35"/>
      <c r="E298" s="35"/>
      <c r="F298" s="29"/>
      <c r="G298" s="19"/>
      <c r="H298" s="41"/>
      <c r="I298" s="25"/>
      <c r="J298" s="25"/>
      <c r="K298" s="41"/>
      <c r="L298" s="35"/>
      <c r="M298" s="35"/>
      <c r="N298" s="35"/>
      <c r="O298" s="26"/>
      <c r="P298" s="23"/>
      <c r="Q298" s="24"/>
      <c r="R298" s="29"/>
      <c r="S298" s="29"/>
      <c r="T298" s="43"/>
      <c r="U298" s="29"/>
      <c r="V298" s="42"/>
      <c r="W298" s="29"/>
    </row>
    <row r="299" ht="15.75" customHeight="1">
      <c r="A299" s="29"/>
      <c r="B299" s="16"/>
      <c r="C299" s="29"/>
      <c r="D299" s="35"/>
      <c r="E299" s="35"/>
      <c r="F299" s="29"/>
      <c r="G299" s="19"/>
      <c r="H299" s="41"/>
      <c r="I299" s="25"/>
      <c r="J299" s="25"/>
      <c r="K299" s="41"/>
      <c r="L299" s="35"/>
      <c r="M299" s="35"/>
      <c r="N299" s="35"/>
      <c r="O299" s="26"/>
      <c r="P299" s="23"/>
      <c r="Q299" s="24"/>
      <c r="R299" s="29"/>
      <c r="S299" s="29"/>
      <c r="T299" s="43"/>
      <c r="U299" s="29"/>
      <c r="V299" s="42"/>
      <c r="W299" s="29"/>
    </row>
    <row r="300" ht="15.75" customHeight="1">
      <c r="A300" s="29"/>
      <c r="B300" s="16"/>
      <c r="C300" s="29"/>
      <c r="D300" s="35"/>
      <c r="E300" s="35"/>
      <c r="F300" s="29"/>
      <c r="G300" s="19"/>
      <c r="H300" s="41"/>
      <c r="I300" s="25"/>
      <c r="J300" s="25"/>
      <c r="K300" s="41"/>
      <c r="L300" s="35"/>
      <c r="M300" s="35"/>
      <c r="N300" s="35"/>
      <c r="O300" s="26"/>
      <c r="P300" s="23"/>
      <c r="Q300" s="24"/>
      <c r="R300" s="29"/>
      <c r="S300" s="29"/>
      <c r="T300" s="43"/>
      <c r="U300" s="29"/>
      <c r="V300" s="42"/>
      <c r="W300" s="29"/>
    </row>
    <row r="301" ht="15.75" customHeight="1">
      <c r="A301" s="29"/>
      <c r="B301" s="16"/>
      <c r="C301" s="29"/>
      <c r="D301" s="35"/>
      <c r="E301" s="35"/>
      <c r="F301" s="29"/>
      <c r="G301" s="19"/>
      <c r="H301" s="41"/>
      <c r="I301" s="25"/>
      <c r="J301" s="25"/>
      <c r="K301" s="41"/>
      <c r="L301" s="35"/>
      <c r="M301" s="35"/>
      <c r="N301" s="35"/>
      <c r="O301" s="26"/>
      <c r="P301" s="23"/>
      <c r="Q301" s="24"/>
      <c r="R301" s="29"/>
      <c r="S301" s="29"/>
      <c r="T301" s="43"/>
      <c r="U301" s="29"/>
      <c r="V301" s="42"/>
      <c r="W301" s="29"/>
    </row>
    <row r="302" ht="15.75" customHeight="1">
      <c r="A302" s="29"/>
      <c r="B302" s="16"/>
      <c r="C302" s="29"/>
      <c r="D302" s="35"/>
      <c r="E302" s="35"/>
      <c r="F302" s="29"/>
      <c r="G302" s="19"/>
      <c r="H302" s="41"/>
      <c r="I302" s="25"/>
      <c r="J302" s="25"/>
      <c r="K302" s="41"/>
      <c r="L302" s="35"/>
      <c r="M302" s="35"/>
      <c r="N302" s="35"/>
      <c r="O302" s="26"/>
      <c r="P302" s="23"/>
      <c r="Q302" s="24"/>
      <c r="R302" s="29"/>
      <c r="S302" s="29"/>
      <c r="T302" s="43"/>
      <c r="U302" s="29"/>
      <c r="V302" s="42"/>
      <c r="W302" s="29"/>
    </row>
    <row r="303" ht="15.75" customHeight="1">
      <c r="A303" s="29"/>
      <c r="B303" s="16"/>
      <c r="C303" s="29"/>
      <c r="D303" s="35"/>
      <c r="E303" s="35"/>
      <c r="F303" s="29"/>
      <c r="G303" s="19"/>
      <c r="H303" s="41"/>
      <c r="I303" s="25"/>
      <c r="J303" s="25"/>
      <c r="K303" s="41"/>
      <c r="L303" s="35"/>
      <c r="M303" s="35"/>
      <c r="N303" s="35"/>
      <c r="O303" s="26"/>
      <c r="P303" s="23"/>
      <c r="Q303" s="24"/>
      <c r="R303" s="29"/>
      <c r="S303" s="29"/>
      <c r="T303" s="43"/>
      <c r="U303" s="29"/>
      <c r="V303" s="42"/>
      <c r="W303" s="29"/>
    </row>
    <row r="304" ht="15.75" customHeight="1">
      <c r="A304" s="29"/>
      <c r="B304" s="16"/>
      <c r="C304" s="29"/>
      <c r="D304" s="35"/>
      <c r="E304" s="35"/>
      <c r="F304" s="29"/>
      <c r="G304" s="19"/>
      <c r="H304" s="41"/>
      <c r="I304" s="25"/>
      <c r="J304" s="25"/>
      <c r="K304" s="41"/>
      <c r="L304" s="35"/>
      <c r="M304" s="35"/>
      <c r="N304" s="35"/>
      <c r="O304" s="26"/>
      <c r="P304" s="23"/>
      <c r="Q304" s="24"/>
      <c r="R304" s="29"/>
      <c r="S304" s="29"/>
      <c r="T304" s="43"/>
      <c r="U304" s="29"/>
      <c r="V304" s="42"/>
      <c r="W304" s="29"/>
    </row>
    <row r="305" ht="15.75" customHeight="1">
      <c r="A305" s="29"/>
      <c r="B305" s="16"/>
      <c r="C305" s="29"/>
      <c r="D305" s="35"/>
      <c r="E305" s="35"/>
      <c r="F305" s="29"/>
      <c r="G305" s="19"/>
      <c r="H305" s="41"/>
      <c r="I305" s="25"/>
      <c r="J305" s="25"/>
      <c r="K305" s="41"/>
      <c r="L305" s="35"/>
      <c r="M305" s="35"/>
      <c r="N305" s="35"/>
      <c r="O305" s="26"/>
      <c r="P305" s="23"/>
      <c r="Q305" s="24"/>
      <c r="R305" s="29"/>
      <c r="S305" s="29"/>
      <c r="T305" s="43"/>
      <c r="U305" s="29"/>
      <c r="V305" s="42"/>
      <c r="W305" s="29"/>
    </row>
    <row r="306" ht="15.75" customHeight="1">
      <c r="A306" s="29"/>
      <c r="B306" s="16"/>
      <c r="C306" s="29"/>
      <c r="D306" s="35"/>
      <c r="E306" s="35"/>
      <c r="F306" s="29"/>
      <c r="G306" s="19"/>
      <c r="H306" s="41"/>
      <c r="I306" s="25"/>
      <c r="J306" s="25"/>
      <c r="K306" s="41"/>
      <c r="L306" s="35"/>
      <c r="M306" s="35"/>
      <c r="N306" s="35"/>
      <c r="O306" s="26"/>
      <c r="P306" s="23"/>
      <c r="Q306" s="24"/>
      <c r="R306" s="29"/>
      <c r="S306" s="29"/>
      <c r="T306" s="43"/>
      <c r="U306" s="29"/>
      <c r="V306" s="42"/>
      <c r="W306" s="29"/>
    </row>
    <row r="307" ht="15.75" customHeight="1">
      <c r="A307" s="29"/>
      <c r="B307" s="16"/>
      <c r="C307" s="29"/>
      <c r="D307" s="35"/>
      <c r="E307" s="35"/>
      <c r="F307" s="29"/>
      <c r="G307" s="19"/>
      <c r="H307" s="41"/>
      <c r="I307" s="25"/>
      <c r="J307" s="25"/>
      <c r="K307" s="41"/>
      <c r="L307" s="35"/>
      <c r="M307" s="35"/>
      <c r="N307" s="35"/>
      <c r="O307" s="26"/>
      <c r="P307" s="23"/>
      <c r="Q307" s="24"/>
      <c r="R307" s="29"/>
      <c r="S307" s="29"/>
      <c r="T307" s="43"/>
      <c r="U307" s="29"/>
      <c r="V307" s="42"/>
      <c r="W307" s="29"/>
    </row>
    <row r="308" ht="15.75" customHeight="1">
      <c r="A308" s="29"/>
      <c r="B308" s="16"/>
      <c r="C308" s="29"/>
      <c r="D308" s="35"/>
      <c r="E308" s="35"/>
      <c r="F308" s="29"/>
      <c r="G308" s="19"/>
      <c r="H308" s="41"/>
      <c r="I308" s="25"/>
      <c r="J308" s="25"/>
      <c r="K308" s="41"/>
      <c r="L308" s="35"/>
      <c r="M308" s="35"/>
      <c r="N308" s="35"/>
      <c r="O308" s="26"/>
      <c r="P308" s="23"/>
      <c r="Q308" s="24"/>
      <c r="R308" s="29"/>
      <c r="S308" s="29"/>
      <c r="T308" s="43"/>
      <c r="U308" s="29"/>
      <c r="V308" s="42"/>
      <c r="W308" s="29"/>
    </row>
    <row r="309" ht="15.75" customHeight="1">
      <c r="A309" s="29"/>
      <c r="B309" s="16"/>
      <c r="C309" s="29"/>
      <c r="D309" s="35"/>
      <c r="E309" s="35"/>
      <c r="F309" s="29"/>
      <c r="G309" s="19"/>
      <c r="H309" s="41"/>
      <c r="I309" s="25"/>
      <c r="J309" s="25"/>
      <c r="K309" s="41"/>
      <c r="L309" s="35"/>
      <c r="M309" s="35"/>
      <c r="N309" s="35"/>
      <c r="O309" s="26"/>
      <c r="P309" s="23"/>
      <c r="Q309" s="24"/>
      <c r="R309" s="29"/>
      <c r="S309" s="29"/>
      <c r="T309" s="43"/>
      <c r="U309" s="29"/>
      <c r="V309" s="42"/>
      <c r="W309" s="29"/>
    </row>
    <row r="310" ht="15.75" customHeight="1">
      <c r="A310" s="29"/>
      <c r="B310" s="16"/>
      <c r="C310" s="29"/>
      <c r="D310" s="35"/>
      <c r="E310" s="35"/>
      <c r="F310" s="29"/>
      <c r="G310" s="19"/>
      <c r="H310" s="41"/>
      <c r="I310" s="25"/>
      <c r="J310" s="25"/>
      <c r="K310" s="41"/>
      <c r="L310" s="35"/>
      <c r="M310" s="35"/>
      <c r="N310" s="35"/>
      <c r="O310" s="26"/>
      <c r="P310" s="23"/>
      <c r="Q310" s="24"/>
      <c r="R310" s="29"/>
      <c r="S310" s="29"/>
      <c r="T310" s="43"/>
      <c r="U310" s="29"/>
      <c r="V310" s="42"/>
      <c r="W310" s="29"/>
    </row>
    <row r="311" ht="15.75" customHeight="1">
      <c r="A311" s="29"/>
      <c r="B311" s="16"/>
      <c r="C311" s="29"/>
      <c r="D311" s="35"/>
      <c r="E311" s="35"/>
      <c r="F311" s="29"/>
      <c r="G311" s="19"/>
      <c r="H311" s="41"/>
      <c r="I311" s="25"/>
      <c r="J311" s="25"/>
      <c r="K311" s="41"/>
      <c r="L311" s="35"/>
      <c r="M311" s="35"/>
      <c r="N311" s="35"/>
      <c r="O311" s="26"/>
      <c r="P311" s="23"/>
      <c r="Q311" s="24"/>
      <c r="R311" s="29"/>
      <c r="S311" s="29"/>
      <c r="T311" s="43"/>
      <c r="U311" s="29"/>
      <c r="V311" s="42"/>
      <c r="W311" s="29"/>
    </row>
    <row r="312" ht="15.75" customHeight="1">
      <c r="A312" s="29"/>
      <c r="B312" s="16"/>
      <c r="C312" s="29"/>
      <c r="D312" s="35"/>
      <c r="E312" s="35"/>
      <c r="F312" s="29"/>
      <c r="G312" s="19"/>
      <c r="H312" s="41"/>
      <c r="I312" s="25"/>
      <c r="J312" s="25"/>
      <c r="K312" s="41"/>
      <c r="L312" s="35"/>
      <c r="M312" s="35"/>
      <c r="N312" s="35"/>
      <c r="O312" s="26"/>
      <c r="P312" s="23"/>
      <c r="Q312" s="24"/>
      <c r="R312" s="29"/>
      <c r="S312" s="29"/>
      <c r="T312" s="43"/>
      <c r="U312" s="29"/>
      <c r="V312" s="42"/>
      <c r="W312" s="29"/>
    </row>
    <row r="313" ht="15.75" customHeight="1">
      <c r="A313" s="29"/>
      <c r="B313" s="16"/>
      <c r="C313" s="29"/>
      <c r="D313" s="35"/>
      <c r="E313" s="35"/>
      <c r="F313" s="29"/>
      <c r="G313" s="19"/>
      <c r="H313" s="41"/>
      <c r="I313" s="25"/>
      <c r="J313" s="25"/>
      <c r="K313" s="41"/>
      <c r="L313" s="35"/>
      <c r="M313" s="35"/>
      <c r="N313" s="35"/>
      <c r="O313" s="26"/>
      <c r="P313" s="23"/>
      <c r="Q313" s="24"/>
      <c r="R313" s="29"/>
      <c r="S313" s="29"/>
      <c r="T313" s="43"/>
      <c r="U313" s="29"/>
      <c r="V313" s="42"/>
      <c r="W313" s="29"/>
    </row>
    <row r="314" ht="15.75" customHeight="1">
      <c r="A314" s="29"/>
      <c r="B314" s="16"/>
      <c r="C314" s="29"/>
      <c r="D314" s="35"/>
      <c r="E314" s="35"/>
      <c r="F314" s="29"/>
      <c r="G314" s="19"/>
      <c r="H314" s="41"/>
      <c r="I314" s="25"/>
      <c r="J314" s="25"/>
      <c r="K314" s="41"/>
      <c r="L314" s="35"/>
      <c r="M314" s="35"/>
      <c r="N314" s="35"/>
      <c r="O314" s="26"/>
      <c r="P314" s="23"/>
      <c r="Q314" s="24"/>
      <c r="R314" s="29"/>
      <c r="S314" s="29"/>
      <c r="T314" s="43"/>
      <c r="U314" s="29"/>
      <c r="V314" s="42"/>
      <c r="W314" s="29"/>
    </row>
    <row r="315" ht="15.75" customHeight="1">
      <c r="A315" s="29"/>
      <c r="B315" s="16"/>
      <c r="C315" s="29"/>
      <c r="D315" s="35"/>
      <c r="E315" s="35"/>
      <c r="F315" s="29"/>
      <c r="G315" s="19"/>
      <c r="H315" s="41"/>
      <c r="I315" s="25"/>
      <c r="J315" s="25"/>
      <c r="K315" s="41"/>
      <c r="L315" s="35"/>
      <c r="M315" s="35"/>
      <c r="N315" s="35"/>
      <c r="O315" s="26"/>
      <c r="P315" s="23"/>
      <c r="Q315" s="24"/>
      <c r="R315" s="29"/>
      <c r="S315" s="29"/>
      <c r="T315" s="43"/>
      <c r="U315" s="29"/>
      <c r="V315" s="42"/>
      <c r="W315" s="29"/>
    </row>
    <row r="316" ht="15.75" customHeight="1">
      <c r="A316" s="29"/>
      <c r="B316" s="16"/>
      <c r="C316" s="29"/>
      <c r="D316" s="35"/>
      <c r="E316" s="35"/>
      <c r="F316" s="29"/>
      <c r="G316" s="19"/>
      <c r="H316" s="41"/>
      <c r="I316" s="25"/>
      <c r="J316" s="25"/>
      <c r="K316" s="41"/>
      <c r="L316" s="35"/>
      <c r="M316" s="35"/>
      <c r="N316" s="35"/>
      <c r="O316" s="26"/>
      <c r="P316" s="23"/>
      <c r="Q316" s="24"/>
      <c r="R316" s="29"/>
      <c r="S316" s="29"/>
      <c r="T316" s="43"/>
      <c r="U316" s="29"/>
      <c r="V316" s="42"/>
      <c r="W316" s="29"/>
    </row>
    <row r="317" ht="15.75" customHeight="1">
      <c r="A317" s="29"/>
      <c r="B317" s="16"/>
      <c r="C317" s="29"/>
      <c r="D317" s="35"/>
      <c r="E317" s="35"/>
      <c r="F317" s="29"/>
      <c r="G317" s="19"/>
      <c r="H317" s="41"/>
      <c r="I317" s="25"/>
      <c r="J317" s="25"/>
      <c r="K317" s="41"/>
      <c r="L317" s="35"/>
      <c r="M317" s="35"/>
      <c r="N317" s="35"/>
      <c r="O317" s="26"/>
      <c r="P317" s="23"/>
      <c r="Q317" s="24"/>
      <c r="R317" s="29"/>
      <c r="S317" s="29"/>
      <c r="T317" s="43"/>
      <c r="U317" s="29"/>
      <c r="V317" s="42"/>
      <c r="W317" s="29"/>
    </row>
    <row r="318" ht="15.75" customHeight="1">
      <c r="A318" s="29"/>
      <c r="B318" s="16"/>
      <c r="C318" s="29"/>
      <c r="D318" s="35"/>
      <c r="E318" s="35"/>
      <c r="F318" s="29"/>
      <c r="G318" s="19"/>
      <c r="H318" s="41"/>
      <c r="I318" s="25"/>
      <c r="J318" s="25"/>
      <c r="K318" s="41"/>
      <c r="L318" s="35"/>
      <c r="M318" s="35"/>
      <c r="N318" s="35"/>
      <c r="O318" s="26"/>
      <c r="P318" s="23"/>
      <c r="Q318" s="24"/>
      <c r="R318" s="29"/>
      <c r="S318" s="29"/>
      <c r="T318" s="43"/>
      <c r="U318" s="29"/>
      <c r="V318" s="42"/>
      <c r="W318" s="29"/>
    </row>
    <row r="319" ht="15.75" customHeight="1">
      <c r="A319" s="29"/>
      <c r="B319" s="16"/>
      <c r="C319" s="29"/>
      <c r="D319" s="35"/>
      <c r="E319" s="35"/>
      <c r="F319" s="29"/>
      <c r="G319" s="19"/>
      <c r="H319" s="41"/>
      <c r="I319" s="25"/>
      <c r="J319" s="25"/>
      <c r="K319" s="41"/>
      <c r="L319" s="35"/>
      <c r="M319" s="35"/>
      <c r="N319" s="35"/>
      <c r="O319" s="26"/>
      <c r="P319" s="23"/>
      <c r="Q319" s="24"/>
      <c r="R319" s="29"/>
      <c r="S319" s="29"/>
      <c r="T319" s="43"/>
      <c r="U319" s="29"/>
      <c r="V319" s="42"/>
      <c r="W319" s="29"/>
    </row>
    <row r="320" ht="15.75" customHeight="1">
      <c r="A320" s="29"/>
      <c r="B320" s="16"/>
      <c r="C320" s="29"/>
      <c r="D320" s="35"/>
      <c r="E320" s="35"/>
      <c r="F320" s="29"/>
      <c r="G320" s="19"/>
      <c r="H320" s="41"/>
      <c r="I320" s="25"/>
      <c r="J320" s="25"/>
      <c r="K320" s="41"/>
      <c r="L320" s="35"/>
      <c r="M320" s="35"/>
      <c r="N320" s="35"/>
      <c r="O320" s="26"/>
      <c r="P320" s="23"/>
      <c r="Q320" s="24"/>
      <c r="R320" s="29"/>
      <c r="S320" s="29"/>
      <c r="T320" s="43"/>
      <c r="U320" s="29"/>
      <c r="V320" s="42"/>
      <c r="W320" s="29"/>
    </row>
    <row r="321" ht="15.75" customHeight="1">
      <c r="A321" s="29"/>
      <c r="B321" s="16"/>
      <c r="C321" s="29"/>
      <c r="D321" s="35"/>
      <c r="E321" s="35"/>
      <c r="F321" s="29"/>
      <c r="G321" s="19"/>
      <c r="H321" s="41"/>
      <c r="I321" s="25"/>
      <c r="J321" s="25"/>
      <c r="K321" s="41"/>
      <c r="L321" s="35"/>
      <c r="M321" s="35"/>
      <c r="N321" s="35"/>
      <c r="O321" s="26"/>
      <c r="P321" s="23"/>
      <c r="Q321" s="24"/>
      <c r="R321" s="29"/>
      <c r="S321" s="29"/>
      <c r="T321" s="43"/>
      <c r="U321" s="29"/>
      <c r="V321" s="42"/>
      <c r="W321" s="29"/>
    </row>
    <row r="322" ht="15.75" customHeight="1">
      <c r="A322" s="29"/>
      <c r="B322" s="16"/>
      <c r="C322" s="29"/>
      <c r="D322" s="35"/>
      <c r="E322" s="35"/>
      <c r="F322" s="29"/>
      <c r="G322" s="19"/>
      <c r="H322" s="41"/>
      <c r="I322" s="25"/>
      <c r="J322" s="25"/>
      <c r="K322" s="41"/>
      <c r="L322" s="35"/>
      <c r="M322" s="35"/>
      <c r="N322" s="35"/>
      <c r="O322" s="26"/>
      <c r="P322" s="23"/>
      <c r="Q322" s="24"/>
      <c r="R322" s="29"/>
      <c r="S322" s="29"/>
      <c r="T322" s="43"/>
      <c r="U322" s="29"/>
      <c r="V322" s="42"/>
      <c r="W322" s="29"/>
    </row>
    <row r="323" ht="15.75" customHeight="1">
      <c r="A323" s="29"/>
      <c r="B323" s="16"/>
      <c r="C323" s="29"/>
      <c r="D323" s="35"/>
      <c r="E323" s="35"/>
      <c r="F323" s="29"/>
      <c r="G323" s="19"/>
      <c r="H323" s="41"/>
      <c r="I323" s="25"/>
      <c r="J323" s="25"/>
      <c r="K323" s="41"/>
      <c r="L323" s="35"/>
      <c r="M323" s="35"/>
      <c r="N323" s="35"/>
      <c r="O323" s="26"/>
      <c r="P323" s="23"/>
      <c r="Q323" s="24"/>
      <c r="R323" s="29"/>
      <c r="S323" s="29"/>
      <c r="T323" s="43"/>
      <c r="U323" s="29"/>
      <c r="V323" s="42"/>
      <c r="W323" s="29"/>
    </row>
    <row r="324" ht="15.75" customHeight="1">
      <c r="A324" s="29"/>
      <c r="B324" s="16"/>
      <c r="C324" s="29"/>
      <c r="D324" s="35"/>
      <c r="E324" s="35"/>
      <c r="F324" s="29"/>
      <c r="G324" s="19"/>
      <c r="H324" s="41"/>
      <c r="I324" s="25"/>
      <c r="J324" s="25"/>
      <c r="K324" s="41"/>
      <c r="L324" s="35"/>
      <c r="M324" s="35"/>
      <c r="N324" s="35"/>
      <c r="O324" s="26"/>
      <c r="P324" s="23"/>
      <c r="Q324" s="24"/>
      <c r="R324" s="29"/>
      <c r="S324" s="29"/>
      <c r="T324" s="43"/>
      <c r="U324" s="29"/>
      <c r="V324" s="42"/>
      <c r="W324" s="29"/>
    </row>
    <row r="325" ht="15.75" customHeight="1">
      <c r="A325" s="29"/>
      <c r="B325" s="16"/>
      <c r="C325" s="29"/>
      <c r="D325" s="35"/>
      <c r="E325" s="35"/>
      <c r="F325" s="29"/>
      <c r="G325" s="19"/>
      <c r="H325" s="41"/>
      <c r="I325" s="25"/>
      <c r="J325" s="25"/>
      <c r="K325" s="41"/>
      <c r="L325" s="35"/>
      <c r="M325" s="35"/>
      <c r="N325" s="35"/>
      <c r="O325" s="26"/>
      <c r="P325" s="23"/>
      <c r="Q325" s="24"/>
      <c r="R325" s="29"/>
      <c r="S325" s="29"/>
      <c r="T325" s="43"/>
      <c r="U325" s="29"/>
      <c r="V325" s="42"/>
      <c r="W325" s="29"/>
    </row>
    <row r="326" ht="15.75" customHeight="1">
      <c r="A326" s="29"/>
      <c r="B326" s="16"/>
      <c r="C326" s="29"/>
      <c r="D326" s="35"/>
      <c r="E326" s="35"/>
      <c r="F326" s="29"/>
      <c r="G326" s="19"/>
      <c r="H326" s="41"/>
      <c r="I326" s="25"/>
      <c r="J326" s="25"/>
      <c r="K326" s="41"/>
      <c r="L326" s="35"/>
      <c r="M326" s="35"/>
      <c r="N326" s="35"/>
      <c r="O326" s="26"/>
      <c r="P326" s="23"/>
      <c r="Q326" s="24"/>
      <c r="R326" s="29"/>
      <c r="S326" s="29"/>
      <c r="T326" s="43"/>
      <c r="U326" s="29"/>
      <c r="V326" s="42"/>
      <c r="W326" s="29"/>
    </row>
    <row r="327" ht="15.75" customHeight="1">
      <c r="A327" s="29"/>
      <c r="B327" s="16"/>
      <c r="C327" s="29"/>
      <c r="D327" s="35"/>
      <c r="E327" s="35"/>
      <c r="F327" s="29"/>
      <c r="G327" s="19"/>
      <c r="H327" s="41"/>
      <c r="I327" s="25"/>
      <c r="J327" s="25"/>
      <c r="K327" s="41"/>
      <c r="L327" s="35"/>
      <c r="M327" s="35"/>
      <c r="N327" s="35"/>
      <c r="O327" s="26"/>
      <c r="P327" s="23"/>
      <c r="Q327" s="24"/>
      <c r="R327" s="29"/>
      <c r="S327" s="29"/>
      <c r="T327" s="43"/>
      <c r="U327" s="29"/>
      <c r="V327" s="42"/>
      <c r="W327" s="29"/>
    </row>
    <row r="328" ht="15.75" customHeight="1">
      <c r="A328" s="29"/>
      <c r="B328" s="16"/>
      <c r="C328" s="29"/>
      <c r="D328" s="35"/>
      <c r="E328" s="35"/>
      <c r="F328" s="29"/>
      <c r="G328" s="19"/>
      <c r="H328" s="41"/>
      <c r="I328" s="25"/>
      <c r="J328" s="25"/>
      <c r="K328" s="41"/>
      <c r="L328" s="35"/>
      <c r="M328" s="35"/>
      <c r="N328" s="35"/>
      <c r="O328" s="26"/>
      <c r="P328" s="23"/>
      <c r="Q328" s="24"/>
      <c r="R328" s="29"/>
      <c r="S328" s="29"/>
      <c r="T328" s="43"/>
      <c r="U328" s="29"/>
      <c r="V328" s="42"/>
      <c r="W328" s="29"/>
    </row>
    <row r="329" ht="15.75" customHeight="1">
      <c r="A329" s="29"/>
      <c r="B329" s="16"/>
      <c r="C329" s="29"/>
      <c r="D329" s="35"/>
      <c r="E329" s="35"/>
      <c r="F329" s="29"/>
      <c r="G329" s="19"/>
      <c r="H329" s="41"/>
      <c r="I329" s="25"/>
      <c r="J329" s="25"/>
      <c r="K329" s="41"/>
      <c r="L329" s="35"/>
      <c r="M329" s="35"/>
      <c r="N329" s="35"/>
      <c r="O329" s="26"/>
      <c r="P329" s="23"/>
      <c r="Q329" s="24"/>
      <c r="R329" s="29"/>
      <c r="S329" s="29"/>
      <c r="T329" s="43"/>
      <c r="U329" s="29"/>
      <c r="V329" s="42"/>
      <c r="W329" s="29"/>
    </row>
    <row r="330" ht="15.75" customHeight="1">
      <c r="A330" s="29"/>
      <c r="B330" s="16"/>
      <c r="C330" s="29"/>
      <c r="D330" s="35"/>
      <c r="E330" s="35"/>
      <c r="F330" s="29"/>
      <c r="G330" s="19"/>
      <c r="H330" s="41"/>
      <c r="I330" s="25"/>
      <c r="J330" s="25"/>
      <c r="K330" s="41"/>
      <c r="L330" s="35"/>
      <c r="M330" s="35"/>
      <c r="N330" s="35"/>
      <c r="O330" s="26"/>
      <c r="P330" s="23"/>
      <c r="Q330" s="24"/>
      <c r="R330" s="29"/>
      <c r="S330" s="29"/>
      <c r="T330" s="43"/>
      <c r="U330" s="29"/>
      <c r="V330" s="42"/>
      <c r="W330" s="29"/>
    </row>
    <row r="331" ht="15.75" customHeight="1">
      <c r="A331" s="29"/>
      <c r="B331" s="16"/>
      <c r="C331" s="29"/>
      <c r="D331" s="35"/>
      <c r="E331" s="35"/>
      <c r="F331" s="29"/>
      <c r="G331" s="19"/>
      <c r="H331" s="41"/>
      <c r="I331" s="25"/>
      <c r="J331" s="25"/>
      <c r="K331" s="41"/>
      <c r="L331" s="35"/>
      <c r="M331" s="35"/>
      <c r="N331" s="35"/>
      <c r="O331" s="26"/>
      <c r="P331" s="23"/>
      <c r="Q331" s="24"/>
      <c r="R331" s="29"/>
      <c r="S331" s="29"/>
      <c r="T331" s="43"/>
      <c r="U331" s="29"/>
      <c r="V331" s="42"/>
      <c r="W331" s="29"/>
    </row>
    <row r="332" ht="15.75" customHeight="1">
      <c r="A332" s="29"/>
      <c r="B332" s="16"/>
      <c r="C332" s="29"/>
      <c r="D332" s="35"/>
      <c r="E332" s="35"/>
      <c r="F332" s="29"/>
      <c r="G332" s="19"/>
      <c r="H332" s="41"/>
      <c r="I332" s="25"/>
      <c r="J332" s="25"/>
      <c r="K332" s="41"/>
      <c r="L332" s="35"/>
      <c r="M332" s="35"/>
      <c r="N332" s="35"/>
      <c r="O332" s="26"/>
      <c r="P332" s="23"/>
      <c r="Q332" s="24"/>
      <c r="R332" s="29"/>
      <c r="S332" s="29"/>
      <c r="T332" s="43"/>
      <c r="U332" s="29"/>
      <c r="V332" s="42"/>
      <c r="W332" s="29"/>
    </row>
    <row r="333" ht="15.75" customHeight="1">
      <c r="A333" s="29"/>
      <c r="B333" s="16"/>
      <c r="C333" s="29"/>
      <c r="D333" s="35"/>
      <c r="E333" s="35"/>
      <c r="F333" s="29"/>
      <c r="G333" s="19"/>
      <c r="H333" s="41"/>
      <c r="I333" s="25"/>
      <c r="J333" s="25"/>
      <c r="K333" s="41"/>
      <c r="L333" s="35"/>
      <c r="M333" s="35"/>
      <c r="N333" s="35"/>
      <c r="O333" s="26"/>
      <c r="P333" s="23"/>
      <c r="Q333" s="24"/>
      <c r="R333" s="29"/>
      <c r="S333" s="29"/>
      <c r="T333" s="43"/>
      <c r="U333" s="29"/>
      <c r="V333" s="42"/>
      <c r="W333" s="29"/>
    </row>
    <row r="334" ht="15.75" customHeight="1">
      <c r="A334" s="29"/>
      <c r="B334" s="16"/>
      <c r="C334" s="29"/>
      <c r="D334" s="35"/>
      <c r="E334" s="35"/>
      <c r="F334" s="29"/>
      <c r="G334" s="19"/>
      <c r="H334" s="41"/>
      <c r="I334" s="25"/>
      <c r="J334" s="25"/>
      <c r="K334" s="41"/>
      <c r="L334" s="35"/>
      <c r="M334" s="35"/>
      <c r="N334" s="35"/>
      <c r="O334" s="26"/>
      <c r="P334" s="23"/>
      <c r="Q334" s="24"/>
      <c r="R334" s="29"/>
      <c r="S334" s="29"/>
      <c r="T334" s="43"/>
      <c r="U334" s="29"/>
      <c r="V334" s="42"/>
      <c r="W334" s="29"/>
    </row>
    <row r="335" ht="15.75" customHeight="1">
      <c r="A335" s="29"/>
      <c r="B335" s="16"/>
      <c r="C335" s="29"/>
      <c r="D335" s="35"/>
      <c r="E335" s="35"/>
      <c r="F335" s="29"/>
      <c r="G335" s="19"/>
      <c r="H335" s="41"/>
      <c r="I335" s="25"/>
      <c r="J335" s="25"/>
      <c r="K335" s="41"/>
      <c r="L335" s="35"/>
      <c r="M335" s="35"/>
      <c r="N335" s="35"/>
      <c r="O335" s="26"/>
      <c r="P335" s="23"/>
      <c r="Q335" s="24"/>
      <c r="R335" s="29"/>
      <c r="S335" s="29"/>
      <c r="T335" s="43"/>
      <c r="U335" s="29"/>
      <c r="V335" s="42"/>
      <c r="W335" s="29"/>
    </row>
    <row r="336" ht="15.75" customHeight="1">
      <c r="A336" s="29"/>
      <c r="B336" s="16"/>
      <c r="C336" s="29"/>
      <c r="D336" s="35"/>
      <c r="E336" s="35"/>
      <c r="F336" s="29"/>
      <c r="G336" s="19"/>
      <c r="H336" s="41"/>
      <c r="I336" s="25"/>
      <c r="J336" s="25"/>
      <c r="K336" s="41"/>
      <c r="L336" s="35"/>
      <c r="M336" s="35"/>
      <c r="N336" s="35"/>
      <c r="O336" s="26"/>
      <c r="P336" s="23"/>
      <c r="Q336" s="24"/>
      <c r="R336" s="29"/>
      <c r="S336" s="29"/>
      <c r="T336" s="43"/>
      <c r="U336" s="29"/>
      <c r="V336" s="42"/>
      <c r="W336" s="29"/>
    </row>
    <row r="337" ht="15.75" customHeight="1">
      <c r="A337" s="29"/>
      <c r="B337" s="16"/>
      <c r="C337" s="29"/>
      <c r="D337" s="35"/>
      <c r="E337" s="35"/>
      <c r="F337" s="29"/>
      <c r="G337" s="19"/>
      <c r="H337" s="41"/>
      <c r="I337" s="25"/>
      <c r="J337" s="25"/>
      <c r="K337" s="41"/>
      <c r="L337" s="35"/>
      <c r="M337" s="35"/>
      <c r="N337" s="35"/>
      <c r="O337" s="26"/>
      <c r="P337" s="23"/>
      <c r="Q337" s="24"/>
      <c r="R337" s="29"/>
      <c r="S337" s="29"/>
      <c r="T337" s="43"/>
      <c r="U337" s="29"/>
      <c r="V337" s="42"/>
      <c r="W337" s="29"/>
    </row>
    <row r="338" ht="15.75" customHeight="1">
      <c r="A338" s="29"/>
      <c r="B338" s="16"/>
      <c r="C338" s="29"/>
      <c r="D338" s="35"/>
      <c r="E338" s="35"/>
      <c r="F338" s="29"/>
      <c r="G338" s="19"/>
      <c r="H338" s="41"/>
      <c r="I338" s="25"/>
      <c r="J338" s="25"/>
      <c r="K338" s="41"/>
      <c r="L338" s="35"/>
      <c r="M338" s="35"/>
      <c r="N338" s="35"/>
      <c r="O338" s="26"/>
      <c r="P338" s="23"/>
      <c r="Q338" s="24"/>
      <c r="R338" s="29"/>
      <c r="S338" s="29"/>
      <c r="T338" s="43"/>
      <c r="U338" s="29"/>
      <c r="V338" s="42"/>
      <c r="W338" s="29"/>
    </row>
    <row r="339" ht="15.75" customHeight="1">
      <c r="A339" s="29"/>
      <c r="B339" s="16"/>
      <c r="C339" s="29"/>
      <c r="D339" s="35"/>
      <c r="E339" s="35"/>
      <c r="F339" s="29"/>
      <c r="G339" s="19"/>
      <c r="H339" s="41"/>
      <c r="I339" s="25"/>
      <c r="J339" s="25"/>
      <c r="K339" s="41"/>
      <c r="L339" s="35"/>
      <c r="M339" s="35"/>
      <c r="N339" s="35"/>
      <c r="O339" s="26"/>
      <c r="P339" s="23"/>
      <c r="Q339" s="24"/>
      <c r="R339" s="29"/>
      <c r="S339" s="29"/>
      <c r="T339" s="43"/>
      <c r="U339" s="29"/>
      <c r="V339" s="42"/>
      <c r="W339" s="29"/>
    </row>
    <row r="340" ht="15.75" customHeight="1">
      <c r="A340" s="29"/>
      <c r="B340" s="16"/>
      <c r="C340" s="29"/>
      <c r="D340" s="35"/>
      <c r="E340" s="35"/>
      <c r="F340" s="29"/>
      <c r="G340" s="19"/>
      <c r="H340" s="41"/>
      <c r="I340" s="25"/>
      <c r="J340" s="25"/>
      <c r="K340" s="41"/>
      <c r="L340" s="35"/>
      <c r="M340" s="35"/>
      <c r="N340" s="35"/>
      <c r="O340" s="26"/>
      <c r="P340" s="23"/>
      <c r="Q340" s="24"/>
      <c r="R340" s="29"/>
      <c r="S340" s="29"/>
      <c r="T340" s="43"/>
      <c r="U340" s="29"/>
      <c r="V340" s="42"/>
      <c r="W340" s="29"/>
    </row>
    <row r="341" ht="15.75" customHeight="1">
      <c r="A341" s="29"/>
      <c r="B341" s="16"/>
      <c r="C341" s="29"/>
      <c r="D341" s="35"/>
      <c r="E341" s="35"/>
      <c r="F341" s="29"/>
      <c r="G341" s="19"/>
      <c r="H341" s="41"/>
      <c r="I341" s="25"/>
      <c r="J341" s="25"/>
      <c r="K341" s="41"/>
      <c r="L341" s="35"/>
      <c r="M341" s="35"/>
      <c r="N341" s="35"/>
      <c r="O341" s="26"/>
      <c r="P341" s="23"/>
      <c r="Q341" s="24"/>
      <c r="R341" s="29"/>
      <c r="S341" s="29"/>
      <c r="T341" s="43"/>
      <c r="U341" s="29"/>
      <c r="V341" s="42"/>
      <c r="W341" s="29"/>
    </row>
    <row r="342" ht="15.75" customHeight="1">
      <c r="A342" s="29"/>
      <c r="B342" s="16"/>
      <c r="C342" s="29"/>
      <c r="D342" s="35"/>
      <c r="E342" s="35"/>
      <c r="F342" s="29"/>
      <c r="G342" s="19"/>
      <c r="H342" s="41"/>
      <c r="I342" s="25"/>
      <c r="J342" s="25"/>
      <c r="K342" s="41"/>
      <c r="L342" s="35"/>
      <c r="M342" s="35"/>
      <c r="N342" s="35"/>
      <c r="O342" s="26"/>
      <c r="P342" s="23"/>
      <c r="Q342" s="24"/>
      <c r="R342" s="29"/>
      <c r="S342" s="29"/>
      <c r="T342" s="43"/>
      <c r="U342" s="29"/>
      <c r="V342" s="42"/>
      <c r="W342" s="29"/>
    </row>
    <row r="343" ht="15.75" customHeight="1">
      <c r="A343" s="29"/>
      <c r="B343" s="16"/>
      <c r="C343" s="29"/>
      <c r="D343" s="35"/>
      <c r="E343" s="35"/>
      <c r="F343" s="29"/>
      <c r="G343" s="19"/>
      <c r="H343" s="41"/>
      <c r="I343" s="25"/>
      <c r="J343" s="25"/>
      <c r="K343" s="41"/>
      <c r="L343" s="35"/>
      <c r="M343" s="35"/>
      <c r="N343" s="35"/>
      <c r="O343" s="26"/>
      <c r="P343" s="23"/>
      <c r="Q343" s="24"/>
      <c r="R343" s="29"/>
      <c r="S343" s="29"/>
      <c r="T343" s="43"/>
      <c r="U343" s="29"/>
      <c r="V343" s="42"/>
      <c r="W343" s="29"/>
    </row>
    <row r="344" ht="15.75" customHeight="1">
      <c r="A344" s="29"/>
      <c r="B344" s="16"/>
      <c r="C344" s="29"/>
      <c r="D344" s="35"/>
      <c r="E344" s="35"/>
      <c r="F344" s="29"/>
      <c r="G344" s="19"/>
      <c r="H344" s="41"/>
      <c r="I344" s="25"/>
      <c r="J344" s="25"/>
      <c r="K344" s="41"/>
      <c r="L344" s="35"/>
      <c r="M344" s="35"/>
      <c r="N344" s="35"/>
      <c r="O344" s="26"/>
      <c r="P344" s="23"/>
      <c r="Q344" s="24"/>
      <c r="R344" s="29"/>
      <c r="S344" s="29"/>
      <c r="T344" s="43"/>
      <c r="U344" s="29"/>
      <c r="V344" s="42"/>
      <c r="W344" s="29"/>
    </row>
    <row r="345" ht="15.75" customHeight="1">
      <c r="A345" s="29"/>
      <c r="B345" s="16"/>
      <c r="C345" s="29"/>
      <c r="D345" s="35"/>
      <c r="E345" s="35"/>
      <c r="F345" s="29"/>
      <c r="G345" s="19"/>
      <c r="H345" s="41"/>
      <c r="I345" s="25"/>
      <c r="J345" s="25"/>
      <c r="K345" s="41"/>
      <c r="L345" s="35"/>
      <c r="M345" s="35"/>
      <c r="N345" s="35"/>
      <c r="O345" s="26"/>
      <c r="P345" s="23"/>
      <c r="Q345" s="24"/>
      <c r="R345" s="29"/>
      <c r="S345" s="29"/>
      <c r="T345" s="43"/>
      <c r="U345" s="29"/>
      <c r="V345" s="42"/>
      <c r="W345" s="29"/>
    </row>
    <row r="346" ht="15.75" customHeight="1">
      <c r="A346" s="29"/>
      <c r="B346" s="16"/>
      <c r="C346" s="29"/>
      <c r="D346" s="35"/>
      <c r="E346" s="35"/>
      <c r="F346" s="29"/>
      <c r="G346" s="19"/>
      <c r="H346" s="41"/>
      <c r="I346" s="25"/>
      <c r="J346" s="25"/>
      <c r="K346" s="41"/>
      <c r="L346" s="35"/>
      <c r="M346" s="35"/>
      <c r="N346" s="35"/>
      <c r="O346" s="26"/>
      <c r="P346" s="23"/>
      <c r="Q346" s="24"/>
      <c r="R346" s="29"/>
      <c r="S346" s="29"/>
      <c r="T346" s="43"/>
      <c r="U346" s="29"/>
      <c r="V346" s="42"/>
      <c r="W346" s="29"/>
    </row>
    <row r="347" ht="15.75" customHeight="1">
      <c r="A347" s="29"/>
      <c r="B347" s="16"/>
      <c r="C347" s="29"/>
      <c r="D347" s="35"/>
      <c r="E347" s="35"/>
      <c r="F347" s="29"/>
      <c r="G347" s="19"/>
      <c r="H347" s="41"/>
      <c r="I347" s="25"/>
      <c r="J347" s="25"/>
      <c r="K347" s="41"/>
      <c r="L347" s="35"/>
      <c r="M347" s="35"/>
      <c r="N347" s="35"/>
      <c r="O347" s="26"/>
      <c r="P347" s="23"/>
      <c r="Q347" s="24"/>
      <c r="R347" s="29"/>
      <c r="S347" s="29"/>
      <c r="T347" s="43"/>
      <c r="U347" s="29"/>
      <c r="V347" s="42"/>
      <c r="W347" s="29"/>
    </row>
    <row r="348" ht="15.75" customHeight="1">
      <c r="A348" s="29"/>
      <c r="B348" s="16"/>
      <c r="C348" s="29"/>
      <c r="D348" s="35"/>
      <c r="E348" s="35"/>
      <c r="F348" s="29"/>
      <c r="G348" s="19"/>
      <c r="H348" s="41"/>
      <c r="I348" s="25"/>
      <c r="J348" s="25"/>
      <c r="K348" s="41"/>
      <c r="L348" s="35"/>
      <c r="M348" s="35"/>
      <c r="N348" s="35"/>
      <c r="O348" s="26"/>
      <c r="P348" s="23"/>
      <c r="Q348" s="24"/>
      <c r="R348" s="29"/>
      <c r="S348" s="29"/>
      <c r="T348" s="43"/>
      <c r="U348" s="29"/>
      <c r="V348" s="42"/>
      <c r="W348" s="29"/>
    </row>
    <row r="349" ht="15.75" customHeight="1">
      <c r="A349" s="29"/>
      <c r="B349" s="16"/>
      <c r="C349" s="29"/>
      <c r="D349" s="35"/>
      <c r="E349" s="35"/>
      <c r="F349" s="29"/>
      <c r="G349" s="19"/>
      <c r="H349" s="41"/>
      <c r="I349" s="25"/>
      <c r="J349" s="25"/>
      <c r="K349" s="41"/>
      <c r="L349" s="35"/>
      <c r="M349" s="35"/>
      <c r="N349" s="35"/>
      <c r="O349" s="26"/>
      <c r="P349" s="23"/>
      <c r="Q349" s="24"/>
      <c r="R349" s="29"/>
      <c r="S349" s="29"/>
      <c r="T349" s="43"/>
      <c r="U349" s="29"/>
      <c r="V349" s="42"/>
      <c r="W349" s="29"/>
    </row>
    <row r="350" ht="15.75" customHeight="1">
      <c r="A350" s="29"/>
      <c r="B350" s="16"/>
      <c r="C350" s="29"/>
      <c r="D350" s="35"/>
      <c r="E350" s="35"/>
      <c r="F350" s="29"/>
      <c r="G350" s="19"/>
      <c r="H350" s="41"/>
      <c r="I350" s="25"/>
      <c r="J350" s="25"/>
      <c r="K350" s="41"/>
      <c r="L350" s="35"/>
      <c r="M350" s="35"/>
      <c r="N350" s="35"/>
      <c r="O350" s="26"/>
      <c r="P350" s="23"/>
      <c r="Q350" s="24"/>
      <c r="R350" s="29"/>
      <c r="S350" s="29"/>
      <c r="T350" s="43"/>
      <c r="U350" s="29"/>
      <c r="V350" s="42"/>
      <c r="W350" s="29"/>
    </row>
    <row r="351" ht="15.75" customHeight="1">
      <c r="A351" s="29"/>
      <c r="B351" s="16"/>
      <c r="C351" s="29"/>
      <c r="D351" s="35"/>
      <c r="E351" s="35"/>
      <c r="F351" s="29"/>
      <c r="G351" s="19"/>
      <c r="H351" s="41"/>
      <c r="I351" s="25"/>
      <c r="J351" s="25"/>
      <c r="K351" s="41"/>
      <c r="L351" s="35"/>
      <c r="M351" s="35"/>
      <c r="N351" s="35"/>
      <c r="O351" s="26"/>
      <c r="P351" s="23"/>
      <c r="Q351" s="24"/>
      <c r="R351" s="29"/>
      <c r="S351" s="29"/>
      <c r="T351" s="43"/>
      <c r="U351" s="29"/>
      <c r="V351" s="42"/>
      <c r="W351" s="29"/>
    </row>
    <row r="352" ht="15.75" customHeight="1">
      <c r="A352" s="29"/>
      <c r="B352" s="16"/>
      <c r="C352" s="29"/>
      <c r="D352" s="35"/>
      <c r="E352" s="35"/>
      <c r="F352" s="29"/>
      <c r="G352" s="19"/>
      <c r="H352" s="41"/>
      <c r="I352" s="25"/>
      <c r="J352" s="25"/>
      <c r="K352" s="41"/>
      <c r="L352" s="35"/>
      <c r="M352" s="35"/>
      <c r="N352" s="35"/>
      <c r="O352" s="26"/>
      <c r="P352" s="23"/>
      <c r="Q352" s="24"/>
      <c r="R352" s="29"/>
      <c r="S352" s="29"/>
      <c r="T352" s="43"/>
      <c r="U352" s="29"/>
      <c r="V352" s="42"/>
      <c r="W352" s="29"/>
    </row>
    <row r="353" ht="15.75" customHeight="1">
      <c r="A353" s="29"/>
      <c r="B353" s="16"/>
      <c r="C353" s="29"/>
      <c r="D353" s="35"/>
      <c r="E353" s="35"/>
      <c r="F353" s="29"/>
      <c r="G353" s="19"/>
      <c r="H353" s="41"/>
      <c r="I353" s="25"/>
      <c r="J353" s="25"/>
      <c r="K353" s="41"/>
      <c r="L353" s="35"/>
      <c r="M353" s="35"/>
      <c r="N353" s="35"/>
      <c r="O353" s="26"/>
      <c r="P353" s="23"/>
      <c r="Q353" s="24"/>
      <c r="R353" s="29"/>
      <c r="S353" s="29"/>
      <c r="T353" s="43"/>
      <c r="U353" s="29"/>
      <c r="V353" s="42"/>
      <c r="W353" s="29"/>
    </row>
    <row r="354" ht="15.75" customHeight="1">
      <c r="A354" s="29"/>
      <c r="B354" s="16"/>
      <c r="C354" s="29"/>
      <c r="D354" s="35"/>
      <c r="E354" s="35"/>
      <c r="F354" s="29"/>
      <c r="G354" s="19"/>
      <c r="H354" s="41"/>
      <c r="I354" s="25"/>
      <c r="J354" s="25"/>
      <c r="K354" s="41"/>
      <c r="L354" s="35"/>
      <c r="M354" s="35"/>
      <c r="N354" s="35"/>
      <c r="O354" s="26"/>
      <c r="P354" s="23"/>
      <c r="Q354" s="24"/>
      <c r="R354" s="29"/>
      <c r="S354" s="29"/>
      <c r="T354" s="43"/>
      <c r="U354" s="29"/>
      <c r="V354" s="42"/>
      <c r="W354" s="29"/>
    </row>
    <row r="355" ht="15.75" customHeight="1">
      <c r="A355" s="29"/>
      <c r="B355" s="16"/>
      <c r="C355" s="29"/>
      <c r="D355" s="35"/>
      <c r="E355" s="35"/>
      <c r="F355" s="29"/>
      <c r="G355" s="19"/>
      <c r="H355" s="41"/>
      <c r="I355" s="25"/>
      <c r="J355" s="25"/>
      <c r="K355" s="41"/>
      <c r="L355" s="35"/>
      <c r="M355" s="35"/>
      <c r="N355" s="35"/>
      <c r="O355" s="26"/>
      <c r="P355" s="23"/>
      <c r="Q355" s="24"/>
      <c r="R355" s="29"/>
      <c r="S355" s="29"/>
      <c r="T355" s="43"/>
      <c r="U355" s="29"/>
      <c r="V355" s="42"/>
      <c r="W355" s="29"/>
    </row>
    <row r="356" ht="15.75" customHeight="1">
      <c r="A356" s="29"/>
      <c r="B356" s="16"/>
      <c r="C356" s="29"/>
      <c r="D356" s="35"/>
      <c r="E356" s="35"/>
      <c r="F356" s="29"/>
      <c r="G356" s="19"/>
      <c r="H356" s="41"/>
      <c r="I356" s="25"/>
      <c r="J356" s="25"/>
      <c r="K356" s="41"/>
      <c r="L356" s="35"/>
      <c r="M356" s="35"/>
      <c r="N356" s="35"/>
      <c r="O356" s="26"/>
      <c r="P356" s="23"/>
      <c r="Q356" s="24"/>
      <c r="R356" s="29"/>
      <c r="S356" s="29"/>
      <c r="T356" s="43"/>
      <c r="U356" s="29"/>
      <c r="V356" s="42"/>
      <c r="W356" s="29"/>
    </row>
    <row r="357" ht="15.75" customHeight="1">
      <c r="A357" s="29"/>
      <c r="B357" s="16"/>
      <c r="C357" s="29"/>
      <c r="D357" s="35"/>
      <c r="E357" s="35"/>
      <c r="F357" s="29"/>
      <c r="G357" s="19"/>
      <c r="H357" s="41"/>
      <c r="I357" s="25"/>
      <c r="J357" s="25"/>
      <c r="K357" s="41"/>
      <c r="L357" s="35"/>
      <c r="M357" s="35"/>
      <c r="N357" s="35"/>
      <c r="O357" s="26"/>
      <c r="P357" s="23"/>
      <c r="Q357" s="24"/>
      <c r="R357" s="29"/>
      <c r="S357" s="29"/>
      <c r="T357" s="43"/>
      <c r="U357" s="29"/>
      <c r="V357" s="42"/>
      <c r="W357" s="29"/>
    </row>
    <row r="358" ht="15.75" customHeight="1">
      <c r="A358" s="29"/>
      <c r="B358" s="16"/>
      <c r="C358" s="29"/>
      <c r="D358" s="35"/>
      <c r="E358" s="35"/>
      <c r="F358" s="29"/>
      <c r="G358" s="19"/>
      <c r="H358" s="41"/>
      <c r="I358" s="25"/>
      <c r="J358" s="25"/>
      <c r="K358" s="41"/>
      <c r="L358" s="35"/>
      <c r="M358" s="35"/>
      <c r="N358" s="35"/>
      <c r="O358" s="26"/>
      <c r="P358" s="23"/>
      <c r="Q358" s="24"/>
      <c r="R358" s="29"/>
      <c r="S358" s="29"/>
      <c r="T358" s="43"/>
      <c r="U358" s="29"/>
      <c r="V358" s="42"/>
      <c r="W358" s="29"/>
    </row>
    <row r="359" ht="15.75" customHeight="1">
      <c r="A359" s="29"/>
      <c r="B359" s="16"/>
      <c r="C359" s="29"/>
      <c r="D359" s="35"/>
      <c r="E359" s="35"/>
      <c r="F359" s="29"/>
      <c r="G359" s="19"/>
      <c r="H359" s="41"/>
      <c r="I359" s="25"/>
      <c r="J359" s="25"/>
      <c r="K359" s="41"/>
      <c r="L359" s="35"/>
      <c r="M359" s="35"/>
      <c r="N359" s="35"/>
      <c r="O359" s="26"/>
      <c r="P359" s="23"/>
      <c r="Q359" s="24"/>
      <c r="R359" s="29"/>
      <c r="S359" s="29"/>
      <c r="T359" s="43"/>
      <c r="U359" s="29"/>
      <c r="V359" s="42"/>
      <c r="W359" s="29"/>
    </row>
    <row r="360" ht="15.75" customHeight="1">
      <c r="A360" s="29"/>
      <c r="B360" s="16"/>
      <c r="C360" s="29"/>
      <c r="D360" s="35"/>
      <c r="E360" s="35"/>
      <c r="F360" s="29"/>
      <c r="G360" s="19"/>
      <c r="H360" s="41"/>
      <c r="I360" s="25"/>
      <c r="J360" s="25"/>
      <c r="K360" s="41"/>
      <c r="L360" s="35"/>
      <c r="M360" s="35"/>
      <c r="N360" s="35"/>
      <c r="O360" s="26"/>
      <c r="P360" s="23"/>
      <c r="Q360" s="24"/>
      <c r="R360" s="29"/>
      <c r="S360" s="29"/>
      <c r="T360" s="43"/>
      <c r="U360" s="29"/>
      <c r="V360" s="42"/>
      <c r="W360" s="29"/>
    </row>
    <row r="361" ht="15.75" customHeight="1">
      <c r="A361" s="29"/>
      <c r="B361" s="16"/>
      <c r="C361" s="29"/>
      <c r="D361" s="35"/>
      <c r="E361" s="35"/>
      <c r="F361" s="29"/>
      <c r="G361" s="19"/>
      <c r="H361" s="41"/>
      <c r="I361" s="25"/>
      <c r="J361" s="25"/>
      <c r="K361" s="41"/>
      <c r="L361" s="35"/>
      <c r="M361" s="35"/>
      <c r="N361" s="35"/>
      <c r="O361" s="26"/>
      <c r="P361" s="23"/>
      <c r="Q361" s="24"/>
      <c r="R361" s="29"/>
      <c r="S361" s="29"/>
      <c r="T361" s="43"/>
      <c r="U361" s="29"/>
      <c r="V361" s="42"/>
      <c r="W361" s="29"/>
    </row>
    <row r="362" ht="15.75" customHeight="1">
      <c r="A362" s="29"/>
      <c r="B362" s="16"/>
      <c r="C362" s="29"/>
      <c r="D362" s="35"/>
      <c r="E362" s="35"/>
      <c r="F362" s="29"/>
      <c r="G362" s="19"/>
      <c r="H362" s="41"/>
      <c r="I362" s="25"/>
      <c r="J362" s="25"/>
      <c r="K362" s="41"/>
      <c r="L362" s="35"/>
      <c r="M362" s="35"/>
      <c r="N362" s="35"/>
      <c r="O362" s="26"/>
      <c r="P362" s="23"/>
      <c r="Q362" s="24"/>
      <c r="R362" s="29"/>
      <c r="S362" s="29"/>
      <c r="T362" s="43"/>
      <c r="U362" s="29"/>
      <c r="V362" s="42"/>
      <c r="W362" s="29"/>
    </row>
    <row r="363" ht="15.75" customHeight="1">
      <c r="A363" s="29"/>
      <c r="B363" s="16"/>
      <c r="C363" s="29"/>
      <c r="D363" s="35"/>
      <c r="E363" s="35"/>
      <c r="F363" s="29"/>
      <c r="G363" s="19"/>
      <c r="H363" s="41"/>
      <c r="I363" s="25"/>
      <c r="J363" s="25"/>
      <c r="K363" s="41"/>
      <c r="L363" s="35"/>
      <c r="M363" s="35"/>
      <c r="N363" s="35"/>
      <c r="O363" s="26"/>
      <c r="P363" s="23"/>
      <c r="Q363" s="24"/>
      <c r="R363" s="29"/>
      <c r="S363" s="29"/>
      <c r="T363" s="43"/>
      <c r="U363" s="29"/>
      <c r="V363" s="42"/>
      <c r="W363" s="29"/>
    </row>
    <row r="364" ht="15.75" customHeight="1">
      <c r="A364" s="29"/>
      <c r="B364" s="16"/>
      <c r="C364" s="29"/>
      <c r="D364" s="35"/>
      <c r="E364" s="35"/>
      <c r="F364" s="29"/>
      <c r="G364" s="19"/>
      <c r="H364" s="41"/>
      <c r="I364" s="25"/>
      <c r="J364" s="25"/>
      <c r="K364" s="41"/>
      <c r="L364" s="35"/>
      <c r="M364" s="35"/>
      <c r="N364" s="35"/>
      <c r="O364" s="26"/>
      <c r="P364" s="23"/>
      <c r="Q364" s="24"/>
      <c r="R364" s="29"/>
      <c r="S364" s="29"/>
      <c r="T364" s="43"/>
      <c r="U364" s="29"/>
      <c r="V364" s="42"/>
      <c r="W364" s="29"/>
    </row>
    <row r="365" ht="15.75" customHeight="1">
      <c r="A365" s="29"/>
      <c r="B365" s="16"/>
      <c r="C365" s="29"/>
      <c r="D365" s="35"/>
      <c r="E365" s="35"/>
      <c r="F365" s="29"/>
      <c r="G365" s="19"/>
      <c r="H365" s="41"/>
      <c r="I365" s="25"/>
      <c r="J365" s="25"/>
      <c r="K365" s="41"/>
      <c r="L365" s="35"/>
      <c r="M365" s="35"/>
      <c r="N365" s="35"/>
      <c r="O365" s="26"/>
      <c r="P365" s="23"/>
      <c r="Q365" s="24"/>
      <c r="R365" s="29"/>
      <c r="S365" s="29"/>
      <c r="T365" s="43"/>
      <c r="U365" s="29"/>
      <c r="V365" s="42"/>
      <c r="W365" s="29"/>
    </row>
    <row r="366" ht="15.75" customHeight="1">
      <c r="A366" s="29"/>
      <c r="B366" s="16"/>
      <c r="C366" s="29"/>
      <c r="D366" s="35"/>
      <c r="E366" s="35"/>
      <c r="F366" s="29"/>
      <c r="G366" s="19"/>
      <c r="H366" s="41"/>
      <c r="I366" s="25"/>
      <c r="J366" s="25"/>
      <c r="K366" s="41"/>
      <c r="L366" s="35"/>
      <c r="M366" s="35"/>
      <c r="N366" s="35"/>
      <c r="O366" s="26"/>
      <c r="P366" s="23"/>
      <c r="Q366" s="24"/>
      <c r="R366" s="29"/>
      <c r="S366" s="29"/>
      <c r="T366" s="43"/>
      <c r="U366" s="29"/>
      <c r="V366" s="42"/>
      <c r="W366" s="29"/>
    </row>
    <row r="367" ht="15.75" customHeight="1">
      <c r="A367" s="29"/>
      <c r="B367" s="16"/>
      <c r="C367" s="29"/>
      <c r="D367" s="35"/>
      <c r="E367" s="35"/>
      <c r="F367" s="29"/>
      <c r="G367" s="19"/>
      <c r="H367" s="41"/>
      <c r="I367" s="25"/>
      <c r="J367" s="25"/>
      <c r="K367" s="41"/>
      <c r="L367" s="35"/>
      <c r="M367" s="35"/>
      <c r="N367" s="35"/>
      <c r="O367" s="26"/>
      <c r="P367" s="23"/>
      <c r="Q367" s="24"/>
      <c r="R367" s="29"/>
      <c r="S367" s="29"/>
      <c r="T367" s="43"/>
      <c r="U367" s="29"/>
      <c r="V367" s="42"/>
      <c r="W367" s="29"/>
    </row>
    <row r="368" ht="15.75" customHeight="1">
      <c r="A368" s="29"/>
      <c r="B368" s="16"/>
      <c r="C368" s="29"/>
      <c r="D368" s="35"/>
      <c r="E368" s="35"/>
      <c r="F368" s="29"/>
      <c r="G368" s="19"/>
      <c r="H368" s="41"/>
      <c r="I368" s="25"/>
      <c r="J368" s="25"/>
      <c r="K368" s="41"/>
      <c r="L368" s="35"/>
      <c r="M368" s="35"/>
      <c r="N368" s="35"/>
      <c r="O368" s="26"/>
      <c r="P368" s="23"/>
      <c r="Q368" s="24"/>
      <c r="R368" s="29"/>
      <c r="S368" s="29"/>
      <c r="T368" s="43"/>
      <c r="U368" s="29"/>
      <c r="V368" s="42"/>
      <c r="W368" s="29"/>
    </row>
    <row r="369" ht="15.75" customHeight="1">
      <c r="A369" s="29"/>
      <c r="B369" s="16"/>
      <c r="C369" s="29"/>
      <c r="D369" s="35"/>
      <c r="E369" s="35"/>
      <c r="F369" s="29"/>
      <c r="G369" s="19"/>
      <c r="H369" s="41"/>
      <c r="I369" s="25"/>
      <c r="J369" s="25"/>
      <c r="K369" s="41"/>
      <c r="L369" s="35"/>
      <c r="M369" s="35"/>
      <c r="N369" s="35"/>
      <c r="O369" s="26"/>
      <c r="P369" s="23"/>
      <c r="Q369" s="24"/>
      <c r="R369" s="29"/>
      <c r="S369" s="29"/>
      <c r="T369" s="43"/>
      <c r="U369" s="29"/>
      <c r="V369" s="42"/>
      <c r="W369" s="29"/>
    </row>
    <row r="370" ht="15.75" customHeight="1">
      <c r="A370" s="29"/>
      <c r="B370" s="16"/>
      <c r="C370" s="29"/>
      <c r="D370" s="35"/>
      <c r="E370" s="35"/>
      <c r="F370" s="29"/>
      <c r="G370" s="19"/>
      <c r="H370" s="41"/>
      <c r="I370" s="25"/>
      <c r="J370" s="25"/>
      <c r="K370" s="41"/>
      <c r="L370" s="35"/>
      <c r="M370" s="35"/>
      <c r="N370" s="35"/>
      <c r="O370" s="26"/>
      <c r="P370" s="23"/>
      <c r="Q370" s="24"/>
      <c r="R370" s="29"/>
      <c r="S370" s="29"/>
      <c r="T370" s="43"/>
      <c r="U370" s="29"/>
      <c r="V370" s="42"/>
      <c r="W370" s="29"/>
    </row>
    <row r="371" ht="15.75" customHeight="1">
      <c r="A371" s="29"/>
      <c r="B371" s="16"/>
      <c r="C371" s="29"/>
      <c r="D371" s="35"/>
      <c r="E371" s="35"/>
      <c r="F371" s="29"/>
      <c r="G371" s="19"/>
      <c r="H371" s="41"/>
      <c r="I371" s="25"/>
      <c r="J371" s="25"/>
      <c r="K371" s="41"/>
      <c r="L371" s="35"/>
      <c r="M371" s="35"/>
      <c r="N371" s="35"/>
      <c r="O371" s="26"/>
      <c r="P371" s="23"/>
      <c r="Q371" s="24"/>
      <c r="R371" s="29"/>
      <c r="S371" s="29"/>
      <c r="T371" s="43"/>
      <c r="U371" s="29"/>
      <c r="V371" s="42"/>
      <c r="W371" s="29"/>
    </row>
    <row r="372" ht="15.75" customHeight="1">
      <c r="A372" s="29"/>
      <c r="B372" s="16"/>
      <c r="C372" s="29"/>
      <c r="D372" s="35"/>
      <c r="E372" s="35"/>
      <c r="F372" s="29"/>
      <c r="G372" s="19"/>
      <c r="H372" s="41"/>
      <c r="I372" s="25"/>
      <c r="J372" s="25"/>
      <c r="K372" s="41"/>
      <c r="L372" s="35"/>
      <c r="M372" s="35"/>
      <c r="N372" s="35"/>
      <c r="O372" s="26"/>
      <c r="P372" s="23"/>
      <c r="Q372" s="24"/>
      <c r="R372" s="29"/>
      <c r="S372" s="29"/>
      <c r="T372" s="43"/>
      <c r="U372" s="29"/>
      <c r="V372" s="42"/>
      <c r="W372" s="29"/>
    </row>
    <row r="373" ht="15.75" customHeight="1">
      <c r="A373" s="29"/>
      <c r="B373" s="16"/>
      <c r="C373" s="29"/>
      <c r="D373" s="35"/>
      <c r="E373" s="35"/>
      <c r="F373" s="29"/>
      <c r="G373" s="19"/>
      <c r="H373" s="41"/>
      <c r="I373" s="25"/>
      <c r="J373" s="25"/>
      <c r="K373" s="41"/>
      <c r="L373" s="35"/>
      <c r="M373" s="35"/>
      <c r="N373" s="35"/>
      <c r="O373" s="26"/>
      <c r="P373" s="23"/>
      <c r="Q373" s="24"/>
      <c r="R373" s="29"/>
      <c r="S373" s="29"/>
      <c r="T373" s="43"/>
      <c r="U373" s="29"/>
      <c r="V373" s="42"/>
      <c r="W373" s="29"/>
    </row>
    <row r="374" ht="15.75" customHeight="1">
      <c r="A374" s="29"/>
      <c r="B374" s="16"/>
      <c r="C374" s="29"/>
      <c r="D374" s="35"/>
      <c r="E374" s="35"/>
      <c r="F374" s="29"/>
      <c r="G374" s="19"/>
      <c r="H374" s="41"/>
      <c r="I374" s="25"/>
      <c r="J374" s="25"/>
      <c r="K374" s="41"/>
      <c r="L374" s="35"/>
      <c r="M374" s="35"/>
      <c r="N374" s="35"/>
      <c r="O374" s="26"/>
      <c r="P374" s="23"/>
      <c r="Q374" s="24"/>
      <c r="R374" s="29"/>
      <c r="S374" s="29"/>
      <c r="T374" s="43"/>
      <c r="U374" s="29"/>
      <c r="V374" s="42"/>
      <c r="W374" s="29"/>
    </row>
    <row r="375" ht="15.75" customHeight="1">
      <c r="A375" s="29"/>
      <c r="B375" s="16"/>
      <c r="C375" s="29"/>
      <c r="D375" s="35"/>
      <c r="E375" s="35"/>
      <c r="F375" s="29"/>
      <c r="G375" s="19"/>
      <c r="H375" s="41"/>
      <c r="I375" s="25"/>
      <c r="J375" s="25"/>
      <c r="K375" s="41"/>
      <c r="L375" s="35"/>
      <c r="M375" s="35"/>
      <c r="N375" s="35"/>
      <c r="O375" s="26"/>
      <c r="P375" s="23"/>
      <c r="Q375" s="24"/>
      <c r="R375" s="29"/>
      <c r="S375" s="29"/>
      <c r="T375" s="43"/>
      <c r="U375" s="29"/>
      <c r="V375" s="42"/>
      <c r="W375" s="29"/>
    </row>
    <row r="376" ht="15.75" customHeight="1">
      <c r="A376" s="29"/>
      <c r="B376" s="16"/>
      <c r="C376" s="29"/>
      <c r="D376" s="35"/>
      <c r="E376" s="35"/>
      <c r="F376" s="29"/>
      <c r="G376" s="19"/>
      <c r="H376" s="41"/>
      <c r="I376" s="25"/>
      <c r="J376" s="25"/>
      <c r="K376" s="41"/>
      <c r="L376" s="35"/>
      <c r="M376" s="35"/>
      <c r="N376" s="35"/>
      <c r="O376" s="26"/>
      <c r="P376" s="23"/>
      <c r="Q376" s="24"/>
      <c r="R376" s="29"/>
      <c r="S376" s="29"/>
      <c r="T376" s="43"/>
      <c r="U376" s="29"/>
      <c r="V376" s="42"/>
      <c r="W376" s="29"/>
    </row>
    <row r="377" ht="15.75" customHeight="1">
      <c r="A377" s="29"/>
      <c r="B377" s="16"/>
      <c r="C377" s="29"/>
      <c r="D377" s="35"/>
      <c r="E377" s="35"/>
      <c r="F377" s="29"/>
      <c r="G377" s="19"/>
      <c r="H377" s="41"/>
      <c r="I377" s="25"/>
      <c r="J377" s="25"/>
      <c r="K377" s="41"/>
      <c r="L377" s="35"/>
      <c r="M377" s="35"/>
      <c r="N377" s="35"/>
      <c r="O377" s="26"/>
      <c r="P377" s="23"/>
      <c r="Q377" s="24"/>
      <c r="R377" s="29"/>
      <c r="S377" s="29"/>
      <c r="T377" s="43"/>
      <c r="U377" s="29"/>
      <c r="V377" s="42"/>
      <c r="W377" s="29"/>
    </row>
    <row r="378" ht="15.75" customHeight="1">
      <c r="A378" s="29"/>
      <c r="B378" s="16"/>
      <c r="C378" s="29"/>
      <c r="D378" s="35"/>
      <c r="E378" s="35"/>
      <c r="F378" s="29"/>
      <c r="G378" s="19"/>
      <c r="H378" s="41"/>
      <c r="I378" s="25"/>
      <c r="J378" s="25"/>
      <c r="K378" s="41"/>
      <c r="L378" s="35"/>
      <c r="M378" s="35"/>
      <c r="N378" s="35"/>
      <c r="O378" s="26"/>
      <c r="P378" s="23"/>
      <c r="Q378" s="24"/>
      <c r="R378" s="29"/>
      <c r="S378" s="29"/>
      <c r="T378" s="43"/>
      <c r="U378" s="29"/>
      <c r="V378" s="42"/>
      <c r="W378" s="29"/>
    </row>
    <row r="379" ht="15.75" customHeight="1">
      <c r="A379" s="29"/>
      <c r="B379" s="16"/>
      <c r="C379" s="29"/>
      <c r="D379" s="35"/>
      <c r="E379" s="35"/>
      <c r="F379" s="29"/>
      <c r="G379" s="19"/>
      <c r="H379" s="41"/>
      <c r="I379" s="25"/>
      <c r="J379" s="25"/>
      <c r="K379" s="41"/>
      <c r="L379" s="35"/>
      <c r="M379" s="35"/>
      <c r="N379" s="35"/>
      <c r="O379" s="26"/>
      <c r="P379" s="23"/>
      <c r="Q379" s="24"/>
      <c r="R379" s="29"/>
      <c r="S379" s="29"/>
      <c r="T379" s="43"/>
      <c r="U379" s="29"/>
      <c r="V379" s="42"/>
      <c r="W379" s="29"/>
    </row>
    <row r="380" ht="15.75" customHeight="1">
      <c r="A380" s="29"/>
      <c r="B380" s="16"/>
      <c r="C380" s="29"/>
      <c r="D380" s="35"/>
      <c r="E380" s="35"/>
      <c r="F380" s="29"/>
      <c r="G380" s="19"/>
      <c r="H380" s="41"/>
      <c r="I380" s="25"/>
      <c r="J380" s="25"/>
      <c r="K380" s="41"/>
      <c r="L380" s="35"/>
      <c r="M380" s="35"/>
      <c r="N380" s="35"/>
      <c r="O380" s="26"/>
      <c r="P380" s="23"/>
      <c r="Q380" s="24"/>
      <c r="R380" s="29"/>
      <c r="S380" s="29"/>
      <c r="T380" s="43"/>
      <c r="U380" s="29"/>
      <c r="V380" s="42"/>
      <c r="W380" s="29"/>
    </row>
    <row r="381" ht="15.75" customHeight="1">
      <c r="A381" s="29"/>
      <c r="B381" s="16"/>
      <c r="C381" s="29"/>
      <c r="D381" s="35"/>
      <c r="E381" s="35"/>
      <c r="F381" s="29"/>
      <c r="G381" s="19"/>
      <c r="H381" s="41"/>
      <c r="I381" s="25"/>
      <c r="J381" s="25"/>
      <c r="K381" s="41"/>
      <c r="L381" s="35"/>
      <c r="M381" s="35"/>
      <c r="N381" s="35"/>
      <c r="O381" s="26"/>
      <c r="P381" s="23"/>
      <c r="Q381" s="24"/>
      <c r="R381" s="29"/>
      <c r="S381" s="29"/>
      <c r="T381" s="43"/>
      <c r="U381" s="29"/>
      <c r="V381" s="42"/>
      <c r="W381" s="29"/>
    </row>
    <row r="382" ht="15.75" customHeight="1">
      <c r="A382" s="29"/>
      <c r="B382" s="16"/>
      <c r="C382" s="29"/>
      <c r="D382" s="35"/>
      <c r="E382" s="35"/>
      <c r="F382" s="29"/>
      <c r="G382" s="19"/>
      <c r="H382" s="41"/>
      <c r="I382" s="25"/>
      <c r="J382" s="25"/>
      <c r="K382" s="41"/>
      <c r="L382" s="35"/>
      <c r="M382" s="35"/>
      <c r="N382" s="35"/>
      <c r="O382" s="26"/>
      <c r="P382" s="23"/>
      <c r="Q382" s="24"/>
      <c r="R382" s="29"/>
      <c r="S382" s="29"/>
      <c r="T382" s="43"/>
      <c r="U382" s="29"/>
      <c r="V382" s="42"/>
      <c r="W382" s="29"/>
    </row>
    <row r="383" ht="15.75" customHeight="1">
      <c r="A383" s="29"/>
      <c r="B383" s="16"/>
      <c r="C383" s="29"/>
      <c r="D383" s="35"/>
      <c r="E383" s="35"/>
      <c r="F383" s="29"/>
      <c r="G383" s="19"/>
      <c r="H383" s="41"/>
      <c r="I383" s="25"/>
      <c r="J383" s="25"/>
      <c r="K383" s="41"/>
      <c r="L383" s="35"/>
      <c r="M383" s="35"/>
      <c r="N383" s="35"/>
      <c r="O383" s="26"/>
      <c r="P383" s="23"/>
      <c r="Q383" s="24"/>
      <c r="R383" s="29"/>
      <c r="S383" s="29"/>
      <c r="T383" s="43"/>
      <c r="U383" s="29"/>
      <c r="V383" s="42"/>
      <c r="W383" s="29"/>
    </row>
    <row r="384" ht="15.75" customHeight="1">
      <c r="A384" s="29"/>
      <c r="B384" s="16"/>
      <c r="C384" s="29"/>
      <c r="D384" s="35"/>
      <c r="E384" s="35"/>
      <c r="F384" s="29"/>
      <c r="G384" s="19"/>
      <c r="H384" s="41"/>
      <c r="I384" s="25"/>
      <c r="J384" s="25"/>
      <c r="K384" s="41"/>
      <c r="L384" s="35"/>
      <c r="M384" s="35"/>
      <c r="N384" s="35"/>
      <c r="O384" s="26"/>
      <c r="P384" s="23"/>
      <c r="Q384" s="24"/>
      <c r="R384" s="29"/>
      <c r="S384" s="29"/>
      <c r="T384" s="43"/>
      <c r="U384" s="29"/>
      <c r="V384" s="42"/>
      <c r="W384" s="29"/>
    </row>
    <row r="385" ht="15.75" customHeight="1">
      <c r="A385" s="29"/>
      <c r="B385" s="16"/>
      <c r="C385" s="29"/>
      <c r="D385" s="35"/>
      <c r="E385" s="35"/>
      <c r="F385" s="29"/>
      <c r="G385" s="19"/>
      <c r="H385" s="41"/>
      <c r="I385" s="25"/>
      <c r="J385" s="25"/>
      <c r="K385" s="41"/>
      <c r="L385" s="35"/>
      <c r="M385" s="35"/>
      <c r="N385" s="35"/>
      <c r="O385" s="26"/>
      <c r="P385" s="23"/>
      <c r="Q385" s="24"/>
      <c r="R385" s="29"/>
      <c r="S385" s="29"/>
      <c r="T385" s="43"/>
      <c r="U385" s="29"/>
      <c r="V385" s="42"/>
      <c r="W385" s="29"/>
    </row>
    <row r="386" ht="15.75" customHeight="1">
      <c r="A386" s="29"/>
      <c r="B386" s="16"/>
      <c r="C386" s="29"/>
      <c r="D386" s="35"/>
      <c r="E386" s="35"/>
      <c r="F386" s="29"/>
      <c r="G386" s="19"/>
      <c r="H386" s="41"/>
      <c r="I386" s="25"/>
      <c r="J386" s="25"/>
      <c r="K386" s="41"/>
      <c r="L386" s="35"/>
      <c r="M386" s="35"/>
      <c r="N386" s="35"/>
      <c r="O386" s="26"/>
      <c r="P386" s="23"/>
      <c r="Q386" s="24"/>
      <c r="R386" s="29"/>
      <c r="S386" s="29"/>
      <c r="T386" s="43"/>
      <c r="U386" s="29"/>
      <c r="V386" s="42"/>
      <c r="W386" s="29"/>
    </row>
    <row r="387" ht="15.75" customHeight="1">
      <c r="A387" s="29"/>
      <c r="B387" s="16"/>
      <c r="C387" s="29"/>
      <c r="D387" s="35"/>
      <c r="E387" s="35"/>
      <c r="F387" s="29"/>
      <c r="G387" s="19"/>
      <c r="H387" s="41"/>
      <c r="I387" s="25"/>
      <c r="J387" s="25"/>
      <c r="K387" s="41"/>
      <c r="L387" s="35"/>
      <c r="M387" s="35"/>
      <c r="N387" s="35"/>
      <c r="O387" s="26"/>
      <c r="P387" s="23"/>
      <c r="Q387" s="24"/>
      <c r="R387" s="29"/>
      <c r="S387" s="29"/>
      <c r="T387" s="43"/>
      <c r="U387" s="29"/>
      <c r="V387" s="42"/>
      <c r="W387" s="29"/>
    </row>
    <row r="388" ht="15.75" customHeight="1">
      <c r="A388" s="29"/>
      <c r="B388" s="16"/>
      <c r="C388" s="29"/>
      <c r="D388" s="35"/>
      <c r="E388" s="35"/>
      <c r="F388" s="29"/>
      <c r="G388" s="19"/>
      <c r="H388" s="41"/>
      <c r="I388" s="25"/>
      <c r="J388" s="25"/>
      <c r="K388" s="41"/>
      <c r="L388" s="35"/>
      <c r="M388" s="35"/>
      <c r="N388" s="35"/>
      <c r="O388" s="26"/>
      <c r="P388" s="23"/>
      <c r="Q388" s="24"/>
      <c r="R388" s="29"/>
      <c r="S388" s="29"/>
      <c r="T388" s="43"/>
      <c r="U388" s="29"/>
      <c r="V388" s="42"/>
      <c r="W388" s="29"/>
    </row>
    <row r="389" ht="15.75" customHeight="1">
      <c r="A389" s="29"/>
      <c r="B389" s="16"/>
      <c r="C389" s="29"/>
      <c r="D389" s="35"/>
      <c r="E389" s="35"/>
      <c r="F389" s="29"/>
      <c r="G389" s="19"/>
      <c r="H389" s="41"/>
      <c r="I389" s="25"/>
      <c r="J389" s="25"/>
      <c r="K389" s="41"/>
      <c r="L389" s="35"/>
      <c r="M389" s="35"/>
      <c r="N389" s="35"/>
      <c r="O389" s="26"/>
      <c r="P389" s="23"/>
      <c r="Q389" s="24"/>
      <c r="R389" s="29"/>
      <c r="S389" s="29"/>
      <c r="T389" s="43"/>
      <c r="U389" s="29"/>
      <c r="V389" s="42"/>
      <c r="W389" s="29"/>
    </row>
    <row r="390" ht="15.75" customHeight="1">
      <c r="A390" s="29"/>
      <c r="B390" s="16"/>
      <c r="C390" s="29"/>
      <c r="D390" s="35"/>
      <c r="E390" s="35"/>
      <c r="F390" s="29"/>
      <c r="G390" s="19"/>
      <c r="H390" s="41"/>
      <c r="I390" s="25"/>
      <c r="J390" s="25"/>
      <c r="K390" s="41"/>
      <c r="L390" s="35"/>
      <c r="M390" s="35"/>
      <c r="N390" s="35"/>
      <c r="O390" s="26"/>
      <c r="P390" s="23"/>
      <c r="Q390" s="24"/>
      <c r="R390" s="29"/>
      <c r="S390" s="29"/>
      <c r="T390" s="43"/>
      <c r="U390" s="29"/>
      <c r="V390" s="42"/>
      <c r="W390" s="29"/>
    </row>
    <row r="391" ht="15.75" customHeight="1">
      <c r="A391" s="29"/>
      <c r="B391" s="16"/>
      <c r="C391" s="29"/>
      <c r="D391" s="35"/>
      <c r="E391" s="35"/>
      <c r="F391" s="29"/>
      <c r="G391" s="19"/>
      <c r="H391" s="41"/>
      <c r="I391" s="25"/>
      <c r="J391" s="25"/>
      <c r="K391" s="41"/>
      <c r="L391" s="35"/>
      <c r="M391" s="35"/>
      <c r="N391" s="35"/>
      <c r="O391" s="26"/>
      <c r="P391" s="23"/>
      <c r="Q391" s="24"/>
      <c r="R391" s="29"/>
      <c r="S391" s="29"/>
      <c r="T391" s="43"/>
      <c r="U391" s="29"/>
      <c r="V391" s="42"/>
      <c r="W391" s="29"/>
    </row>
    <row r="392" ht="15.75" customHeight="1">
      <c r="A392" s="29"/>
      <c r="B392" s="16"/>
      <c r="C392" s="29"/>
      <c r="D392" s="35"/>
      <c r="E392" s="35"/>
      <c r="F392" s="29"/>
      <c r="G392" s="19"/>
      <c r="H392" s="41"/>
      <c r="I392" s="25"/>
      <c r="J392" s="25"/>
      <c r="K392" s="41"/>
      <c r="L392" s="35"/>
      <c r="M392" s="35"/>
      <c r="N392" s="35"/>
      <c r="O392" s="26"/>
      <c r="P392" s="23"/>
      <c r="Q392" s="24"/>
      <c r="R392" s="29"/>
      <c r="S392" s="29"/>
      <c r="T392" s="43"/>
      <c r="U392" s="29"/>
      <c r="V392" s="42"/>
      <c r="W392" s="29"/>
    </row>
    <row r="393" ht="15.75" customHeight="1">
      <c r="A393" s="29"/>
      <c r="B393" s="16"/>
      <c r="C393" s="29"/>
      <c r="D393" s="35"/>
      <c r="E393" s="35"/>
      <c r="F393" s="29"/>
      <c r="G393" s="19"/>
      <c r="H393" s="41"/>
      <c r="I393" s="25"/>
      <c r="J393" s="25"/>
      <c r="K393" s="41"/>
      <c r="L393" s="35"/>
      <c r="M393" s="35"/>
      <c r="N393" s="35"/>
      <c r="O393" s="26"/>
      <c r="P393" s="23"/>
      <c r="Q393" s="24"/>
      <c r="R393" s="29"/>
      <c r="S393" s="29"/>
      <c r="T393" s="43"/>
      <c r="U393" s="29"/>
      <c r="V393" s="42"/>
      <c r="W393" s="29"/>
    </row>
    <row r="394" ht="15.75" customHeight="1">
      <c r="A394" s="29"/>
      <c r="B394" s="16"/>
      <c r="C394" s="29"/>
      <c r="D394" s="35"/>
      <c r="E394" s="35"/>
      <c r="F394" s="29"/>
      <c r="G394" s="19"/>
      <c r="H394" s="41"/>
      <c r="I394" s="25"/>
      <c r="J394" s="25"/>
      <c r="K394" s="41"/>
      <c r="L394" s="35"/>
      <c r="M394" s="35"/>
      <c r="N394" s="35"/>
      <c r="O394" s="26"/>
      <c r="P394" s="23"/>
      <c r="Q394" s="24"/>
      <c r="R394" s="29"/>
      <c r="S394" s="29"/>
      <c r="T394" s="43"/>
      <c r="U394" s="29"/>
      <c r="V394" s="42"/>
      <c r="W394" s="29"/>
    </row>
    <row r="395" ht="15.75" customHeight="1">
      <c r="A395" s="29"/>
      <c r="B395" s="16"/>
      <c r="C395" s="29"/>
      <c r="D395" s="35"/>
      <c r="E395" s="35"/>
      <c r="F395" s="29"/>
      <c r="G395" s="19"/>
      <c r="H395" s="41"/>
      <c r="I395" s="25"/>
      <c r="J395" s="25"/>
      <c r="K395" s="41"/>
      <c r="L395" s="35"/>
      <c r="M395" s="35"/>
      <c r="N395" s="35"/>
      <c r="O395" s="26"/>
      <c r="P395" s="23"/>
      <c r="Q395" s="24"/>
      <c r="R395" s="29"/>
      <c r="S395" s="29"/>
      <c r="T395" s="43"/>
      <c r="U395" s="29"/>
      <c r="V395" s="42"/>
      <c r="W395" s="29"/>
    </row>
    <row r="396" ht="15.75" customHeight="1">
      <c r="A396" s="29"/>
      <c r="B396" s="16"/>
      <c r="C396" s="29"/>
      <c r="D396" s="35"/>
      <c r="E396" s="35"/>
      <c r="F396" s="29"/>
      <c r="G396" s="19"/>
      <c r="H396" s="41"/>
      <c r="I396" s="25"/>
      <c r="J396" s="25"/>
      <c r="K396" s="41"/>
      <c r="L396" s="35"/>
      <c r="M396" s="35"/>
      <c r="N396" s="35"/>
      <c r="O396" s="26"/>
      <c r="P396" s="23"/>
      <c r="Q396" s="24"/>
      <c r="R396" s="29"/>
      <c r="S396" s="29"/>
      <c r="T396" s="43"/>
      <c r="U396" s="29"/>
      <c r="V396" s="42"/>
      <c r="W396" s="29"/>
    </row>
    <row r="397" ht="15.75" customHeight="1">
      <c r="A397" s="29"/>
      <c r="B397" s="16"/>
      <c r="C397" s="29"/>
      <c r="D397" s="35"/>
      <c r="E397" s="35"/>
      <c r="F397" s="29"/>
      <c r="G397" s="19"/>
      <c r="H397" s="41"/>
      <c r="I397" s="25"/>
      <c r="J397" s="25"/>
      <c r="K397" s="41"/>
      <c r="L397" s="35"/>
      <c r="M397" s="35"/>
      <c r="N397" s="35"/>
      <c r="O397" s="26"/>
      <c r="P397" s="23"/>
      <c r="Q397" s="24"/>
      <c r="R397" s="29"/>
      <c r="S397" s="29"/>
      <c r="T397" s="43"/>
      <c r="U397" s="29"/>
      <c r="V397" s="42"/>
      <c r="W397" s="29"/>
    </row>
    <row r="398" ht="15.75" customHeight="1">
      <c r="A398" s="29"/>
      <c r="B398" s="16"/>
      <c r="C398" s="29"/>
      <c r="D398" s="35"/>
      <c r="E398" s="35"/>
      <c r="F398" s="29"/>
      <c r="G398" s="19"/>
      <c r="H398" s="41"/>
      <c r="I398" s="25"/>
      <c r="J398" s="25"/>
      <c r="K398" s="41"/>
      <c r="L398" s="35"/>
      <c r="M398" s="35"/>
      <c r="N398" s="35"/>
      <c r="O398" s="26"/>
      <c r="P398" s="23"/>
      <c r="Q398" s="24"/>
      <c r="R398" s="29"/>
      <c r="S398" s="29"/>
      <c r="T398" s="43"/>
      <c r="U398" s="29"/>
      <c r="V398" s="42"/>
      <c r="W398" s="29"/>
    </row>
    <row r="399" ht="15.75" customHeight="1">
      <c r="A399" s="29"/>
      <c r="B399" s="16"/>
      <c r="C399" s="29"/>
      <c r="D399" s="35"/>
      <c r="E399" s="35"/>
      <c r="F399" s="29"/>
      <c r="G399" s="19"/>
      <c r="H399" s="41"/>
      <c r="I399" s="25"/>
      <c r="J399" s="25"/>
      <c r="K399" s="41"/>
      <c r="L399" s="35"/>
      <c r="M399" s="35"/>
      <c r="N399" s="35"/>
      <c r="O399" s="26"/>
      <c r="P399" s="23"/>
      <c r="Q399" s="24"/>
      <c r="R399" s="29"/>
      <c r="S399" s="29"/>
      <c r="T399" s="43"/>
      <c r="U399" s="29"/>
      <c r="V399" s="42"/>
      <c r="W399" s="29"/>
    </row>
    <row r="400" ht="15.75" customHeight="1">
      <c r="A400" s="29"/>
      <c r="B400" s="16"/>
      <c r="C400" s="29"/>
      <c r="D400" s="35"/>
      <c r="E400" s="35"/>
      <c r="F400" s="29"/>
      <c r="G400" s="19"/>
      <c r="H400" s="41"/>
      <c r="I400" s="25"/>
      <c r="J400" s="25"/>
      <c r="K400" s="41"/>
      <c r="L400" s="35"/>
      <c r="M400" s="35"/>
      <c r="N400" s="35"/>
      <c r="O400" s="26"/>
      <c r="P400" s="23"/>
      <c r="Q400" s="24"/>
      <c r="R400" s="29"/>
      <c r="S400" s="29"/>
      <c r="T400" s="43"/>
      <c r="U400" s="29"/>
      <c r="V400" s="42"/>
      <c r="W400" s="29"/>
    </row>
    <row r="401" ht="15.75" customHeight="1">
      <c r="A401" s="29"/>
      <c r="B401" s="16"/>
      <c r="C401" s="29"/>
      <c r="D401" s="35"/>
      <c r="E401" s="35"/>
      <c r="F401" s="29"/>
      <c r="G401" s="19"/>
      <c r="H401" s="41"/>
      <c r="I401" s="25"/>
      <c r="J401" s="25"/>
      <c r="K401" s="41"/>
      <c r="L401" s="35"/>
      <c r="M401" s="35"/>
      <c r="N401" s="35"/>
      <c r="O401" s="26"/>
      <c r="P401" s="23"/>
      <c r="Q401" s="24"/>
      <c r="R401" s="29"/>
      <c r="S401" s="29"/>
      <c r="T401" s="43"/>
      <c r="U401" s="29"/>
      <c r="V401" s="42"/>
      <c r="W401" s="29"/>
    </row>
    <row r="402" ht="15.75" customHeight="1">
      <c r="A402" s="29"/>
      <c r="B402" s="16"/>
      <c r="C402" s="29"/>
      <c r="D402" s="35"/>
      <c r="E402" s="35"/>
      <c r="F402" s="29"/>
      <c r="G402" s="19"/>
      <c r="H402" s="41"/>
      <c r="I402" s="25"/>
      <c r="J402" s="25"/>
      <c r="K402" s="41"/>
      <c r="L402" s="35"/>
      <c r="M402" s="35"/>
      <c r="N402" s="35"/>
      <c r="O402" s="26"/>
      <c r="P402" s="23"/>
      <c r="Q402" s="24"/>
      <c r="R402" s="29"/>
      <c r="S402" s="29"/>
      <c r="T402" s="43"/>
      <c r="U402" s="29"/>
      <c r="V402" s="42"/>
      <c r="W402" s="29"/>
    </row>
    <row r="403" ht="15.75" customHeight="1">
      <c r="A403" s="29"/>
      <c r="B403" s="16"/>
      <c r="C403" s="29"/>
      <c r="D403" s="35"/>
      <c r="E403" s="35"/>
      <c r="F403" s="29"/>
      <c r="G403" s="19"/>
      <c r="H403" s="41"/>
      <c r="I403" s="25"/>
      <c r="J403" s="25"/>
      <c r="K403" s="41"/>
      <c r="L403" s="35"/>
      <c r="M403" s="35"/>
      <c r="N403" s="35"/>
      <c r="O403" s="26"/>
      <c r="P403" s="23"/>
      <c r="Q403" s="24"/>
      <c r="R403" s="29"/>
      <c r="S403" s="29"/>
      <c r="T403" s="43"/>
      <c r="U403" s="29"/>
      <c r="V403" s="42"/>
      <c r="W403" s="29"/>
    </row>
    <row r="404" ht="15.75" customHeight="1">
      <c r="A404" s="29"/>
      <c r="B404" s="16"/>
      <c r="C404" s="29"/>
      <c r="D404" s="35"/>
      <c r="E404" s="35"/>
      <c r="F404" s="29"/>
      <c r="G404" s="19"/>
      <c r="H404" s="41"/>
      <c r="I404" s="25"/>
      <c r="J404" s="25"/>
      <c r="K404" s="41"/>
      <c r="L404" s="35"/>
      <c r="M404" s="35"/>
      <c r="N404" s="35"/>
      <c r="O404" s="26"/>
      <c r="P404" s="23"/>
      <c r="Q404" s="24"/>
      <c r="R404" s="29"/>
      <c r="S404" s="29"/>
      <c r="T404" s="43"/>
      <c r="U404" s="29"/>
      <c r="V404" s="42"/>
      <c r="W404" s="29"/>
    </row>
    <row r="405" ht="15.75" customHeight="1">
      <c r="A405" s="29"/>
      <c r="B405" s="16"/>
      <c r="C405" s="29"/>
      <c r="D405" s="35"/>
      <c r="E405" s="35"/>
      <c r="F405" s="29"/>
      <c r="G405" s="19"/>
      <c r="H405" s="41"/>
      <c r="I405" s="25"/>
      <c r="J405" s="25"/>
      <c r="K405" s="41"/>
      <c r="L405" s="35"/>
      <c r="M405" s="35"/>
      <c r="N405" s="35"/>
      <c r="O405" s="26"/>
      <c r="P405" s="23"/>
      <c r="Q405" s="24"/>
      <c r="R405" s="29"/>
      <c r="S405" s="29"/>
      <c r="T405" s="43"/>
      <c r="U405" s="29"/>
      <c r="V405" s="42"/>
      <c r="W405" s="29"/>
    </row>
    <row r="406" ht="15.75" customHeight="1">
      <c r="A406" s="29"/>
      <c r="B406" s="16"/>
      <c r="C406" s="29"/>
      <c r="D406" s="35"/>
      <c r="E406" s="35"/>
      <c r="F406" s="29"/>
      <c r="G406" s="19"/>
      <c r="H406" s="41"/>
      <c r="I406" s="25"/>
      <c r="J406" s="25"/>
      <c r="K406" s="41"/>
      <c r="L406" s="35"/>
      <c r="M406" s="35"/>
      <c r="N406" s="35"/>
      <c r="O406" s="26"/>
      <c r="P406" s="23"/>
      <c r="Q406" s="24"/>
      <c r="R406" s="29"/>
      <c r="S406" s="29"/>
      <c r="T406" s="43"/>
      <c r="U406" s="29"/>
      <c r="V406" s="42"/>
      <c r="W406" s="29"/>
    </row>
    <row r="407" ht="15.75" customHeight="1">
      <c r="A407" s="29"/>
      <c r="B407" s="16"/>
      <c r="C407" s="29"/>
      <c r="D407" s="35"/>
      <c r="E407" s="35"/>
      <c r="F407" s="29"/>
      <c r="G407" s="19"/>
      <c r="H407" s="41"/>
      <c r="I407" s="25"/>
      <c r="J407" s="25"/>
      <c r="K407" s="41"/>
      <c r="L407" s="35"/>
      <c r="M407" s="35"/>
      <c r="N407" s="35"/>
      <c r="O407" s="26"/>
      <c r="P407" s="23"/>
      <c r="Q407" s="24"/>
      <c r="R407" s="29"/>
      <c r="S407" s="29"/>
      <c r="T407" s="43"/>
      <c r="U407" s="29"/>
      <c r="V407" s="42"/>
      <c r="W407" s="29"/>
    </row>
    <row r="408" ht="15.75" customHeight="1">
      <c r="A408" s="29"/>
      <c r="B408" s="16"/>
      <c r="C408" s="29"/>
      <c r="D408" s="35"/>
      <c r="E408" s="35"/>
      <c r="F408" s="29"/>
      <c r="G408" s="19"/>
      <c r="H408" s="41"/>
      <c r="I408" s="25"/>
      <c r="J408" s="25"/>
      <c r="K408" s="41"/>
      <c r="L408" s="35"/>
      <c r="M408" s="35"/>
      <c r="N408" s="35"/>
      <c r="O408" s="26"/>
      <c r="P408" s="23"/>
      <c r="Q408" s="24"/>
      <c r="R408" s="29"/>
      <c r="S408" s="29"/>
      <c r="T408" s="43"/>
      <c r="U408" s="29"/>
      <c r="V408" s="42"/>
      <c r="W408" s="29"/>
    </row>
    <row r="409" ht="15.75" customHeight="1">
      <c r="A409" s="29"/>
      <c r="B409" s="16"/>
      <c r="C409" s="29"/>
      <c r="D409" s="35"/>
      <c r="E409" s="35"/>
      <c r="F409" s="29"/>
      <c r="G409" s="19"/>
      <c r="H409" s="41"/>
      <c r="I409" s="25"/>
      <c r="J409" s="25"/>
      <c r="K409" s="41"/>
      <c r="L409" s="35"/>
      <c r="M409" s="35"/>
      <c r="N409" s="35"/>
      <c r="O409" s="26"/>
      <c r="P409" s="23"/>
      <c r="Q409" s="24"/>
      <c r="R409" s="29"/>
      <c r="S409" s="29"/>
      <c r="T409" s="43"/>
      <c r="U409" s="29"/>
      <c r="V409" s="42"/>
      <c r="W409" s="29"/>
    </row>
    <row r="410" ht="15.75" customHeight="1">
      <c r="A410" s="29"/>
      <c r="B410" s="16"/>
      <c r="C410" s="29"/>
      <c r="D410" s="35"/>
      <c r="E410" s="35"/>
      <c r="F410" s="29"/>
      <c r="G410" s="19"/>
      <c r="H410" s="41"/>
      <c r="I410" s="25"/>
      <c r="J410" s="25"/>
      <c r="K410" s="41"/>
      <c r="L410" s="35"/>
      <c r="M410" s="35"/>
      <c r="N410" s="35"/>
      <c r="O410" s="26"/>
      <c r="P410" s="23"/>
      <c r="Q410" s="24"/>
      <c r="R410" s="29"/>
      <c r="S410" s="29"/>
      <c r="T410" s="43"/>
      <c r="U410" s="29"/>
      <c r="V410" s="42"/>
      <c r="W410" s="29"/>
    </row>
    <row r="411" ht="15.75" customHeight="1">
      <c r="A411" s="29"/>
      <c r="B411" s="16"/>
      <c r="C411" s="29"/>
      <c r="D411" s="35"/>
      <c r="E411" s="35"/>
      <c r="F411" s="29"/>
      <c r="G411" s="19"/>
      <c r="H411" s="41"/>
      <c r="I411" s="25"/>
      <c r="J411" s="25"/>
      <c r="K411" s="41"/>
      <c r="L411" s="35"/>
      <c r="M411" s="35"/>
      <c r="N411" s="35"/>
      <c r="O411" s="26"/>
      <c r="P411" s="23"/>
      <c r="Q411" s="24"/>
      <c r="R411" s="29"/>
      <c r="S411" s="29"/>
      <c r="T411" s="43"/>
      <c r="U411" s="29"/>
      <c r="V411" s="42"/>
      <c r="W411" s="29"/>
    </row>
    <row r="412" ht="15.75" customHeight="1">
      <c r="A412" s="29"/>
      <c r="B412" s="16"/>
      <c r="C412" s="29"/>
      <c r="D412" s="35"/>
      <c r="E412" s="35"/>
      <c r="F412" s="29"/>
      <c r="G412" s="19"/>
      <c r="H412" s="41"/>
      <c r="I412" s="25"/>
      <c r="J412" s="25"/>
      <c r="K412" s="41"/>
      <c r="L412" s="35"/>
      <c r="M412" s="35"/>
      <c r="N412" s="35"/>
      <c r="O412" s="26"/>
      <c r="P412" s="23"/>
      <c r="Q412" s="24"/>
      <c r="R412" s="29"/>
      <c r="S412" s="29"/>
      <c r="T412" s="43"/>
      <c r="U412" s="29"/>
      <c r="V412" s="42"/>
      <c r="W412" s="29"/>
    </row>
    <row r="413" ht="15.75" customHeight="1">
      <c r="A413" s="29"/>
      <c r="B413" s="16"/>
      <c r="C413" s="29"/>
      <c r="D413" s="35"/>
      <c r="E413" s="35"/>
      <c r="F413" s="29"/>
      <c r="G413" s="19"/>
      <c r="H413" s="41"/>
      <c r="I413" s="25"/>
      <c r="J413" s="25"/>
      <c r="K413" s="41"/>
      <c r="L413" s="35"/>
      <c r="M413" s="35"/>
      <c r="N413" s="35"/>
      <c r="O413" s="26"/>
      <c r="P413" s="23"/>
      <c r="Q413" s="24"/>
      <c r="R413" s="29"/>
      <c r="S413" s="29"/>
      <c r="T413" s="43"/>
      <c r="U413" s="29"/>
      <c r="V413" s="42"/>
      <c r="W413" s="29"/>
    </row>
    <row r="414" ht="15.75" customHeight="1">
      <c r="A414" s="29"/>
      <c r="B414" s="16"/>
      <c r="C414" s="29"/>
      <c r="D414" s="35"/>
      <c r="E414" s="35"/>
      <c r="F414" s="29"/>
      <c r="G414" s="19"/>
      <c r="H414" s="41"/>
      <c r="I414" s="25"/>
      <c r="J414" s="25"/>
      <c r="K414" s="41"/>
      <c r="L414" s="35"/>
      <c r="M414" s="35"/>
      <c r="N414" s="35"/>
      <c r="O414" s="26"/>
      <c r="P414" s="23"/>
      <c r="Q414" s="24"/>
      <c r="R414" s="29"/>
      <c r="S414" s="29"/>
      <c r="T414" s="43"/>
      <c r="U414" s="29"/>
      <c r="V414" s="42"/>
      <c r="W414" s="29"/>
    </row>
    <row r="415" ht="15.75" customHeight="1">
      <c r="A415" s="29"/>
      <c r="B415" s="16"/>
      <c r="C415" s="29"/>
      <c r="D415" s="35"/>
      <c r="E415" s="35"/>
      <c r="F415" s="29"/>
      <c r="G415" s="19"/>
      <c r="H415" s="41"/>
      <c r="I415" s="25"/>
      <c r="J415" s="25"/>
      <c r="K415" s="41"/>
      <c r="L415" s="35"/>
      <c r="M415" s="35"/>
      <c r="N415" s="35"/>
      <c r="O415" s="26"/>
      <c r="P415" s="23"/>
      <c r="Q415" s="24"/>
      <c r="R415" s="29"/>
      <c r="S415" s="29"/>
      <c r="T415" s="43"/>
      <c r="U415" s="29"/>
      <c r="V415" s="42"/>
      <c r="W415" s="29"/>
    </row>
    <row r="416" ht="15.75" customHeight="1">
      <c r="A416" s="29"/>
      <c r="B416" s="16"/>
      <c r="C416" s="29"/>
      <c r="D416" s="35"/>
      <c r="E416" s="35"/>
      <c r="F416" s="29"/>
      <c r="G416" s="19"/>
      <c r="H416" s="41"/>
      <c r="I416" s="25"/>
      <c r="J416" s="25"/>
      <c r="K416" s="41"/>
      <c r="L416" s="35"/>
      <c r="M416" s="35"/>
      <c r="N416" s="35"/>
      <c r="O416" s="26"/>
      <c r="P416" s="23"/>
      <c r="Q416" s="24"/>
      <c r="R416" s="29"/>
      <c r="S416" s="29"/>
      <c r="T416" s="43"/>
      <c r="U416" s="29"/>
      <c r="V416" s="42"/>
      <c r="W416" s="29"/>
    </row>
    <row r="417" ht="15.75" customHeight="1">
      <c r="A417" s="29"/>
      <c r="B417" s="16"/>
      <c r="C417" s="29"/>
      <c r="D417" s="35"/>
      <c r="E417" s="35"/>
      <c r="F417" s="29"/>
      <c r="G417" s="19"/>
      <c r="H417" s="41"/>
      <c r="I417" s="25"/>
      <c r="J417" s="25"/>
      <c r="K417" s="41"/>
      <c r="L417" s="35"/>
      <c r="M417" s="35"/>
      <c r="N417" s="35"/>
      <c r="O417" s="26"/>
      <c r="P417" s="23"/>
      <c r="Q417" s="24"/>
      <c r="R417" s="29"/>
      <c r="S417" s="29"/>
      <c r="T417" s="43"/>
      <c r="U417" s="29"/>
      <c r="V417" s="42"/>
      <c r="W417" s="29"/>
    </row>
    <row r="418" ht="15.75" customHeight="1">
      <c r="A418" s="29"/>
      <c r="B418" s="16"/>
      <c r="C418" s="29"/>
      <c r="D418" s="35"/>
      <c r="E418" s="35"/>
      <c r="F418" s="29"/>
      <c r="G418" s="19"/>
      <c r="H418" s="41"/>
      <c r="I418" s="25"/>
      <c r="J418" s="25"/>
      <c r="K418" s="41"/>
      <c r="L418" s="35"/>
      <c r="M418" s="35"/>
      <c r="N418" s="35"/>
      <c r="O418" s="26"/>
      <c r="P418" s="23"/>
      <c r="Q418" s="24"/>
      <c r="R418" s="29"/>
      <c r="S418" s="29"/>
      <c r="T418" s="43"/>
      <c r="U418" s="29"/>
      <c r="V418" s="42"/>
      <c r="W418" s="29"/>
    </row>
    <row r="419" ht="15.75" customHeight="1">
      <c r="A419" s="29"/>
      <c r="B419" s="16"/>
      <c r="C419" s="29"/>
      <c r="D419" s="35"/>
      <c r="E419" s="35"/>
      <c r="F419" s="29"/>
      <c r="G419" s="19"/>
      <c r="H419" s="41"/>
      <c r="I419" s="25"/>
      <c r="J419" s="25"/>
      <c r="K419" s="41"/>
      <c r="L419" s="35"/>
      <c r="M419" s="35"/>
      <c r="N419" s="35"/>
      <c r="O419" s="26"/>
      <c r="P419" s="23"/>
      <c r="Q419" s="24"/>
      <c r="R419" s="29"/>
      <c r="S419" s="29"/>
      <c r="T419" s="43"/>
      <c r="U419" s="29"/>
      <c r="V419" s="42"/>
      <c r="W419" s="29"/>
    </row>
    <row r="420" ht="15.75" customHeight="1">
      <c r="A420" s="29"/>
      <c r="B420" s="16"/>
      <c r="C420" s="29"/>
      <c r="D420" s="35"/>
      <c r="E420" s="35"/>
      <c r="F420" s="29"/>
      <c r="G420" s="19"/>
      <c r="H420" s="41"/>
      <c r="I420" s="25"/>
      <c r="J420" s="25"/>
      <c r="K420" s="41"/>
      <c r="L420" s="35"/>
      <c r="M420" s="35"/>
      <c r="N420" s="35"/>
      <c r="O420" s="26"/>
      <c r="P420" s="23"/>
      <c r="Q420" s="24"/>
      <c r="R420" s="29"/>
      <c r="S420" s="29"/>
      <c r="T420" s="43"/>
      <c r="U420" s="29"/>
      <c r="V420" s="42"/>
      <c r="W420" s="29"/>
    </row>
    <row r="421" ht="15.75" customHeight="1">
      <c r="A421" s="29"/>
      <c r="B421" s="16"/>
      <c r="C421" s="29"/>
      <c r="D421" s="35"/>
      <c r="E421" s="35"/>
      <c r="F421" s="29"/>
      <c r="G421" s="19"/>
      <c r="H421" s="41"/>
      <c r="I421" s="25"/>
      <c r="J421" s="25"/>
      <c r="K421" s="41"/>
      <c r="L421" s="35"/>
      <c r="M421" s="35"/>
      <c r="N421" s="35"/>
      <c r="O421" s="26"/>
      <c r="P421" s="23"/>
      <c r="Q421" s="24"/>
      <c r="R421" s="29"/>
      <c r="S421" s="29"/>
      <c r="T421" s="43"/>
      <c r="U421" s="29"/>
      <c r="V421" s="42"/>
      <c r="W421" s="29"/>
    </row>
    <row r="422" ht="15.75" customHeight="1">
      <c r="A422" s="29"/>
      <c r="B422" s="16"/>
      <c r="C422" s="29"/>
      <c r="D422" s="35"/>
      <c r="E422" s="35"/>
      <c r="F422" s="29"/>
      <c r="G422" s="19"/>
      <c r="H422" s="41"/>
      <c r="I422" s="25"/>
      <c r="J422" s="25"/>
      <c r="K422" s="41"/>
      <c r="L422" s="35"/>
      <c r="M422" s="35"/>
      <c r="N422" s="35"/>
      <c r="O422" s="26"/>
      <c r="P422" s="23"/>
      <c r="Q422" s="24"/>
      <c r="R422" s="29"/>
      <c r="S422" s="29"/>
      <c r="T422" s="43"/>
      <c r="U422" s="29"/>
      <c r="V422" s="42"/>
      <c r="W422" s="29"/>
    </row>
    <row r="423" ht="15.75" customHeight="1">
      <c r="A423" s="29"/>
      <c r="B423" s="16"/>
      <c r="C423" s="29"/>
      <c r="D423" s="35"/>
      <c r="E423" s="35"/>
      <c r="F423" s="29"/>
      <c r="G423" s="19"/>
      <c r="H423" s="41"/>
      <c r="I423" s="25"/>
      <c r="J423" s="25"/>
      <c r="K423" s="41"/>
      <c r="L423" s="35"/>
      <c r="M423" s="35"/>
      <c r="N423" s="35"/>
      <c r="O423" s="26"/>
      <c r="P423" s="23"/>
      <c r="Q423" s="24"/>
      <c r="R423" s="29"/>
      <c r="S423" s="29"/>
      <c r="T423" s="43"/>
      <c r="U423" s="29"/>
      <c r="V423" s="42"/>
      <c r="W423" s="29"/>
    </row>
    <row r="424" ht="15.75" customHeight="1">
      <c r="A424" s="29"/>
      <c r="B424" s="16"/>
      <c r="C424" s="29"/>
      <c r="D424" s="35"/>
      <c r="E424" s="35"/>
      <c r="F424" s="29"/>
      <c r="G424" s="19"/>
      <c r="H424" s="41"/>
      <c r="I424" s="25"/>
      <c r="J424" s="25"/>
      <c r="K424" s="41"/>
      <c r="L424" s="35"/>
      <c r="M424" s="35"/>
      <c r="N424" s="35"/>
      <c r="O424" s="26"/>
      <c r="P424" s="23"/>
      <c r="Q424" s="24"/>
      <c r="R424" s="29"/>
      <c r="S424" s="29"/>
      <c r="T424" s="43"/>
      <c r="U424" s="29"/>
      <c r="V424" s="42"/>
      <c r="W424" s="29"/>
    </row>
    <row r="425" ht="15.75" customHeight="1">
      <c r="A425" s="29"/>
      <c r="B425" s="16"/>
      <c r="C425" s="29"/>
      <c r="D425" s="35"/>
      <c r="E425" s="35"/>
      <c r="F425" s="29"/>
      <c r="G425" s="19"/>
      <c r="H425" s="41"/>
      <c r="I425" s="25"/>
      <c r="J425" s="25"/>
      <c r="K425" s="41"/>
      <c r="L425" s="35"/>
      <c r="M425" s="35"/>
      <c r="N425" s="35"/>
      <c r="O425" s="26"/>
      <c r="P425" s="23"/>
      <c r="Q425" s="24"/>
      <c r="R425" s="29"/>
      <c r="S425" s="29"/>
      <c r="T425" s="43"/>
      <c r="U425" s="29"/>
      <c r="V425" s="42"/>
      <c r="W425" s="29"/>
    </row>
    <row r="426" ht="15.75" customHeight="1">
      <c r="A426" s="29"/>
      <c r="B426" s="16"/>
      <c r="C426" s="29"/>
      <c r="D426" s="35"/>
      <c r="E426" s="35"/>
      <c r="F426" s="29"/>
      <c r="G426" s="19"/>
      <c r="H426" s="41"/>
      <c r="I426" s="25"/>
      <c r="J426" s="25"/>
      <c r="K426" s="41"/>
      <c r="L426" s="35"/>
      <c r="M426" s="35"/>
      <c r="N426" s="35"/>
      <c r="O426" s="26"/>
      <c r="P426" s="23"/>
      <c r="Q426" s="24"/>
      <c r="R426" s="29"/>
      <c r="S426" s="29"/>
      <c r="T426" s="43"/>
      <c r="U426" s="29"/>
      <c r="V426" s="42"/>
      <c r="W426" s="29"/>
    </row>
    <row r="427" ht="15.75" customHeight="1">
      <c r="A427" s="29"/>
      <c r="B427" s="16"/>
      <c r="C427" s="29"/>
      <c r="D427" s="35"/>
      <c r="E427" s="35"/>
      <c r="F427" s="29"/>
      <c r="G427" s="19"/>
      <c r="H427" s="41"/>
      <c r="I427" s="25"/>
      <c r="J427" s="25"/>
      <c r="K427" s="41"/>
      <c r="L427" s="35"/>
      <c r="M427" s="35"/>
      <c r="N427" s="35"/>
      <c r="O427" s="26"/>
      <c r="P427" s="23"/>
      <c r="Q427" s="24"/>
      <c r="R427" s="29"/>
      <c r="S427" s="29"/>
      <c r="T427" s="43"/>
      <c r="U427" s="29"/>
      <c r="V427" s="42"/>
      <c r="W427" s="29"/>
    </row>
    <row r="428" ht="15.75" customHeight="1">
      <c r="A428" s="29"/>
      <c r="B428" s="16"/>
      <c r="C428" s="29"/>
      <c r="D428" s="35"/>
      <c r="E428" s="35"/>
      <c r="F428" s="29"/>
      <c r="G428" s="19"/>
      <c r="H428" s="41"/>
      <c r="I428" s="25"/>
      <c r="J428" s="25"/>
      <c r="K428" s="41"/>
      <c r="L428" s="35"/>
      <c r="M428" s="35"/>
      <c r="N428" s="35"/>
      <c r="O428" s="26"/>
      <c r="P428" s="23"/>
      <c r="Q428" s="24"/>
      <c r="R428" s="29"/>
      <c r="S428" s="29"/>
      <c r="T428" s="43"/>
      <c r="U428" s="29"/>
      <c r="V428" s="42"/>
      <c r="W428" s="29"/>
    </row>
    <row r="429" ht="15.75" customHeight="1">
      <c r="A429" s="29"/>
      <c r="B429" s="16"/>
      <c r="C429" s="29"/>
      <c r="D429" s="35"/>
      <c r="E429" s="35"/>
      <c r="F429" s="29"/>
      <c r="G429" s="19"/>
      <c r="H429" s="41"/>
      <c r="I429" s="25"/>
      <c r="J429" s="25"/>
      <c r="K429" s="41"/>
      <c r="L429" s="35"/>
      <c r="M429" s="35"/>
      <c r="N429" s="35"/>
      <c r="O429" s="26"/>
      <c r="P429" s="23"/>
      <c r="Q429" s="24"/>
      <c r="R429" s="29"/>
      <c r="S429" s="29"/>
      <c r="T429" s="43"/>
      <c r="U429" s="29"/>
      <c r="V429" s="42"/>
      <c r="W429" s="29"/>
    </row>
    <row r="430" ht="15.75" customHeight="1">
      <c r="A430" s="29"/>
      <c r="B430" s="16"/>
      <c r="C430" s="29"/>
      <c r="D430" s="35"/>
      <c r="E430" s="35"/>
      <c r="F430" s="29"/>
      <c r="G430" s="19"/>
      <c r="H430" s="41"/>
      <c r="I430" s="25"/>
      <c r="J430" s="25"/>
      <c r="K430" s="41"/>
      <c r="L430" s="35"/>
      <c r="M430" s="35"/>
      <c r="N430" s="35"/>
      <c r="O430" s="26"/>
      <c r="P430" s="23"/>
      <c r="Q430" s="24"/>
      <c r="R430" s="29"/>
      <c r="S430" s="29"/>
      <c r="T430" s="43"/>
      <c r="U430" s="29"/>
      <c r="V430" s="42"/>
      <c r="W430" s="29"/>
    </row>
    <row r="431" ht="15.75" customHeight="1">
      <c r="A431" s="29"/>
      <c r="B431" s="16"/>
      <c r="C431" s="29"/>
      <c r="D431" s="35"/>
      <c r="E431" s="35"/>
      <c r="F431" s="29"/>
      <c r="G431" s="19"/>
      <c r="H431" s="41"/>
      <c r="I431" s="25"/>
      <c r="J431" s="25"/>
      <c r="K431" s="41"/>
      <c r="L431" s="35"/>
      <c r="M431" s="35"/>
      <c r="N431" s="35"/>
      <c r="O431" s="26"/>
      <c r="P431" s="23"/>
      <c r="Q431" s="24"/>
      <c r="R431" s="29"/>
      <c r="S431" s="29"/>
      <c r="T431" s="43"/>
      <c r="U431" s="29"/>
      <c r="V431" s="42"/>
      <c r="W431" s="29"/>
    </row>
    <row r="432" ht="15.75" customHeight="1">
      <c r="A432" s="29"/>
      <c r="B432" s="16"/>
      <c r="C432" s="29"/>
      <c r="D432" s="35"/>
      <c r="E432" s="35"/>
      <c r="F432" s="29"/>
      <c r="G432" s="19"/>
      <c r="H432" s="41"/>
      <c r="I432" s="25"/>
      <c r="J432" s="25"/>
      <c r="K432" s="41"/>
      <c r="L432" s="35"/>
      <c r="M432" s="35"/>
      <c r="N432" s="35"/>
      <c r="O432" s="26"/>
      <c r="P432" s="23"/>
      <c r="Q432" s="24"/>
      <c r="R432" s="29"/>
      <c r="S432" s="29"/>
      <c r="T432" s="43"/>
      <c r="U432" s="29"/>
      <c r="V432" s="42"/>
      <c r="W432" s="29"/>
    </row>
    <row r="433" ht="15.75" customHeight="1">
      <c r="A433" s="29"/>
      <c r="B433" s="16"/>
      <c r="C433" s="29"/>
      <c r="D433" s="35"/>
      <c r="E433" s="35"/>
      <c r="F433" s="29"/>
      <c r="G433" s="19"/>
      <c r="H433" s="41"/>
      <c r="I433" s="25"/>
      <c r="J433" s="25"/>
      <c r="K433" s="41"/>
      <c r="L433" s="35"/>
      <c r="M433" s="35"/>
      <c r="N433" s="35"/>
      <c r="O433" s="26"/>
      <c r="P433" s="23"/>
      <c r="Q433" s="24"/>
      <c r="R433" s="29"/>
      <c r="S433" s="29"/>
      <c r="T433" s="43"/>
      <c r="U433" s="29"/>
      <c r="V433" s="42"/>
      <c r="W433" s="29"/>
    </row>
    <row r="434" ht="15.75" customHeight="1">
      <c r="A434" s="29"/>
      <c r="B434" s="16"/>
      <c r="C434" s="29"/>
      <c r="D434" s="35"/>
      <c r="E434" s="35"/>
      <c r="F434" s="29"/>
      <c r="G434" s="19"/>
      <c r="H434" s="41"/>
      <c r="I434" s="25"/>
      <c r="J434" s="25"/>
      <c r="K434" s="41"/>
      <c r="L434" s="35"/>
      <c r="M434" s="35"/>
      <c r="N434" s="35"/>
      <c r="O434" s="26"/>
      <c r="P434" s="23"/>
      <c r="Q434" s="24"/>
      <c r="R434" s="29"/>
      <c r="S434" s="29"/>
      <c r="T434" s="43"/>
      <c r="U434" s="29"/>
      <c r="V434" s="42"/>
      <c r="W434" s="29"/>
    </row>
    <row r="435" ht="15.75" customHeight="1">
      <c r="A435" s="29"/>
      <c r="B435" s="16"/>
      <c r="C435" s="29"/>
      <c r="D435" s="35"/>
      <c r="E435" s="35"/>
      <c r="F435" s="29"/>
      <c r="G435" s="19"/>
      <c r="H435" s="41"/>
      <c r="I435" s="25"/>
      <c r="J435" s="25"/>
      <c r="K435" s="41"/>
      <c r="L435" s="35"/>
      <c r="M435" s="35"/>
      <c r="N435" s="35"/>
      <c r="O435" s="26"/>
      <c r="P435" s="23"/>
      <c r="Q435" s="24"/>
      <c r="R435" s="29"/>
      <c r="S435" s="29"/>
      <c r="T435" s="43"/>
      <c r="U435" s="29"/>
      <c r="V435" s="42"/>
      <c r="W435" s="29"/>
    </row>
    <row r="436" ht="15.75" customHeight="1">
      <c r="A436" s="29"/>
      <c r="B436" s="16"/>
      <c r="C436" s="29"/>
      <c r="D436" s="35"/>
      <c r="E436" s="35"/>
      <c r="F436" s="29"/>
      <c r="G436" s="19"/>
      <c r="H436" s="41"/>
      <c r="I436" s="25"/>
      <c r="J436" s="25"/>
      <c r="K436" s="41"/>
      <c r="L436" s="35"/>
      <c r="M436" s="35"/>
      <c r="N436" s="35"/>
      <c r="O436" s="26"/>
      <c r="P436" s="23"/>
      <c r="Q436" s="24"/>
      <c r="R436" s="29"/>
      <c r="S436" s="29"/>
      <c r="T436" s="43"/>
      <c r="U436" s="29"/>
      <c r="V436" s="42"/>
      <c r="W436" s="29"/>
    </row>
    <row r="437" ht="15.75" customHeight="1">
      <c r="A437" s="29"/>
      <c r="B437" s="16"/>
      <c r="C437" s="29"/>
      <c r="D437" s="35"/>
      <c r="E437" s="35"/>
      <c r="F437" s="29"/>
      <c r="G437" s="19"/>
      <c r="H437" s="41"/>
      <c r="I437" s="25"/>
      <c r="J437" s="25"/>
      <c r="K437" s="41"/>
      <c r="L437" s="35"/>
      <c r="M437" s="35"/>
      <c r="N437" s="35"/>
      <c r="O437" s="26"/>
      <c r="P437" s="23"/>
      <c r="Q437" s="24"/>
      <c r="R437" s="29"/>
      <c r="S437" s="29"/>
      <c r="T437" s="43"/>
      <c r="U437" s="29"/>
      <c r="V437" s="42"/>
      <c r="W437" s="29"/>
    </row>
    <row r="438" ht="15.75" customHeight="1">
      <c r="A438" s="29"/>
      <c r="B438" s="16"/>
      <c r="C438" s="29"/>
      <c r="D438" s="35"/>
      <c r="E438" s="35"/>
      <c r="F438" s="29"/>
      <c r="G438" s="19"/>
      <c r="H438" s="41"/>
      <c r="I438" s="25"/>
      <c r="J438" s="25"/>
      <c r="K438" s="41"/>
      <c r="L438" s="35"/>
      <c r="M438" s="35"/>
      <c r="N438" s="35"/>
      <c r="O438" s="26"/>
      <c r="P438" s="23"/>
      <c r="Q438" s="24"/>
      <c r="R438" s="29"/>
      <c r="S438" s="29"/>
      <c r="T438" s="43"/>
      <c r="U438" s="29"/>
      <c r="V438" s="42"/>
      <c r="W438" s="29"/>
    </row>
    <row r="439" ht="15.75" customHeight="1">
      <c r="A439" s="29"/>
      <c r="B439" s="16"/>
      <c r="C439" s="29"/>
      <c r="D439" s="35"/>
      <c r="E439" s="35"/>
      <c r="F439" s="29"/>
      <c r="G439" s="19"/>
      <c r="H439" s="41"/>
      <c r="I439" s="25"/>
      <c r="J439" s="25"/>
      <c r="K439" s="41"/>
      <c r="L439" s="35"/>
      <c r="M439" s="35"/>
      <c r="N439" s="35"/>
      <c r="O439" s="26"/>
      <c r="P439" s="23"/>
      <c r="Q439" s="24"/>
      <c r="R439" s="29"/>
      <c r="S439" s="29"/>
      <c r="T439" s="43"/>
      <c r="U439" s="29"/>
      <c r="V439" s="42"/>
      <c r="W439" s="29"/>
    </row>
    <row r="440" ht="15.75" customHeight="1">
      <c r="A440" s="29"/>
      <c r="B440" s="16"/>
      <c r="C440" s="29"/>
      <c r="D440" s="35"/>
      <c r="E440" s="35"/>
      <c r="F440" s="29"/>
      <c r="G440" s="19"/>
      <c r="H440" s="41"/>
      <c r="I440" s="25"/>
      <c r="J440" s="25"/>
      <c r="K440" s="41"/>
      <c r="L440" s="35"/>
      <c r="M440" s="35"/>
      <c r="N440" s="35"/>
      <c r="O440" s="26"/>
      <c r="P440" s="23"/>
      <c r="Q440" s="24"/>
      <c r="R440" s="29"/>
      <c r="S440" s="29"/>
      <c r="T440" s="43"/>
      <c r="U440" s="29"/>
      <c r="V440" s="42"/>
      <c r="W440" s="29"/>
    </row>
    <row r="441" ht="15.75" customHeight="1">
      <c r="A441" s="29"/>
      <c r="B441" s="16"/>
      <c r="C441" s="29"/>
      <c r="D441" s="35"/>
      <c r="E441" s="35"/>
      <c r="F441" s="29"/>
      <c r="G441" s="19"/>
      <c r="H441" s="41"/>
      <c r="I441" s="25"/>
      <c r="J441" s="25"/>
      <c r="K441" s="41"/>
      <c r="L441" s="35"/>
      <c r="M441" s="35"/>
      <c r="N441" s="35"/>
      <c r="O441" s="26"/>
      <c r="P441" s="23"/>
      <c r="Q441" s="24"/>
      <c r="R441" s="29"/>
      <c r="S441" s="29"/>
      <c r="T441" s="43"/>
      <c r="U441" s="29"/>
      <c r="V441" s="42"/>
      <c r="W441" s="29"/>
    </row>
    <row r="442" ht="15.75" customHeight="1">
      <c r="A442" s="29"/>
      <c r="B442" s="16"/>
      <c r="C442" s="29"/>
      <c r="D442" s="35"/>
      <c r="E442" s="35"/>
      <c r="F442" s="29"/>
      <c r="G442" s="19"/>
      <c r="H442" s="41"/>
      <c r="I442" s="25"/>
      <c r="J442" s="25"/>
      <c r="K442" s="41"/>
      <c r="L442" s="35"/>
      <c r="M442" s="35"/>
      <c r="N442" s="35"/>
      <c r="O442" s="26"/>
      <c r="P442" s="23"/>
      <c r="Q442" s="24"/>
      <c r="R442" s="29"/>
      <c r="S442" s="29"/>
      <c r="T442" s="43"/>
      <c r="U442" s="29"/>
      <c r="V442" s="42"/>
      <c r="W442" s="29"/>
    </row>
    <row r="443" ht="15.75" customHeight="1">
      <c r="A443" s="29"/>
      <c r="B443" s="16"/>
      <c r="C443" s="29"/>
      <c r="D443" s="35"/>
      <c r="E443" s="35"/>
      <c r="F443" s="29"/>
      <c r="G443" s="19"/>
      <c r="H443" s="41"/>
      <c r="I443" s="25"/>
      <c r="J443" s="25"/>
      <c r="K443" s="41"/>
      <c r="L443" s="35"/>
      <c r="M443" s="35"/>
      <c r="N443" s="35"/>
      <c r="O443" s="26"/>
      <c r="P443" s="23"/>
      <c r="Q443" s="24"/>
      <c r="R443" s="29"/>
      <c r="S443" s="29"/>
      <c r="T443" s="43"/>
      <c r="U443" s="29"/>
      <c r="V443" s="42"/>
      <c r="W443" s="29"/>
    </row>
    <row r="444" ht="15.75" customHeight="1">
      <c r="A444" s="29"/>
      <c r="B444" s="16"/>
      <c r="C444" s="29"/>
      <c r="D444" s="35"/>
      <c r="E444" s="35"/>
      <c r="F444" s="29"/>
      <c r="G444" s="19"/>
      <c r="H444" s="41"/>
      <c r="I444" s="25"/>
      <c r="J444" s="25"/>
      <c r="K444" s="41"/>
      <c r="L444" s="35"/>
      <c r="M444" s="35"/>
      <c r="N444" s="35"/>
      <c r="O444" s="26"/>
      <c r="P444" s="23"/>
      <c r="Q444" s="24"/>
      <c r="R444" s="29"/>
      <c r="S444" s="29"/>
      <c r="T444" s="43"/>
      <c r="U444" s="29"/>
      <c r="V444" s="42"/>
      <c r="W444" s="29"/>
    </row>
    <row r="445" ht="15.75" customHeight="1">
      <c r="A445" s="29"/>
      <c r="B445" s="16"/>
      <c r="C445" s="29"/>
      <c r="D445" s="35"/>
      <c r="E445" s="35"/>
      <c r="F445" s="29"/>
      <c r="G445" s="19"/>
      <c r="H445" s="41"/>
      <c r="I445" s="25"/>
      <c r="J445" s="25"/>
      <c r="K445" s="41"/>
      <c r="L445" s="35"/>
      <c r="M445" s="35"/>
      <c r="N445" s="35"/>
      <c r="O445" s="26"/>
      <c r="P445" s="23"/>
      <c r="Q445" s="24"/>
      <c r="R445" s="29"/>
      <c r="S445" s="29"/>
      <c r="T445" s="43"/>
      <c r="U445" s="29"/>
      <c r="V445" s="42"/>
      <c r="W445" s="29"/>
    </row>
    <row r="446" ht="15.75" customHeight="1">
      <c r="A446" s="29"/>
      <c r="B446" s="16"/>
      <c r="C446" s="29"/>
      <c r="D446" s="35"/>
      <c r="E446" s="35"/>
      <c r="F446" s="29"/>
      <c r="G446" s="19"/>
      <c r="H446" s="41"/>
      <c r="I446" s="25"/>
      <c r="J446" s="25"/>
      <c r="K446" s="41"/>
      <c r="L446" s="35"/>
      <c r="M446" s="35"/>
      <c r="N446" s="35"/>
      <c r="O446" s="26"/>
      <c r="P446" s="23"/>
      <c r="Q446" s="24"/>
      <c r="R446" s="29"/>
      <c r="S446" s="29"/>
      <c r="T446" s="43"/>
      <c r="U446" s="29"/>
      <c r="V446" s="42"/>
      <c r="W446" s="29"/>
    </row>
    <row r="447" ht="15.75" customHeight="1">
      <c r="A447" s="29"/>
      <c r="B447" s="16"/>
      <c r="C447" s="29"/>
      <c r="D447" s="35"/>
      <c r="E447" s="35"/>
      <c r="F447" s="29"/>
      <c r="G447" s="19"/>
      <c r="H447" s="41"/>
      <c r="I447" s="25"/>
      <c r="J447" s="25"/>
      <c r="K447" s="41"/>
      <c r="L447" s="35"/>
      <c r="M447" s="35"/>
      <c r="N447" s="35"/>
      <c r="O447" s="26"/>
      <c r="P447" s="23"/>
      <c r="Q447" s="24"/>
      <c r="R447" s="29"/>
      <c r="S447" s="29"/>
      <c r="T447" s="43"/>
      <c r="U447" s="29"/>
      <c r="V447" s="42"/>
      <c r="W447" s="29"/>
    </row>
    <row r="448" ht="15.75" customHeight="1">
      <c r="A448" s="29"/>
      <c r="B448" s="16"/>
      <c r="C448" s="29"/>
      <c r="D448" s="35"/>
      <c r="E448" s="35"/>
      <c r="F448" s="29"/>
      <c r="G448" s="19"/>
      <c r="H448" s="41"/>
      <c r="I448" s="25"/>
      <c r="J448" s="25"/>
      <c r="K448" s="41"/>
      <c r="L448" s="35"/>
      <c r="M448" s="35"/>
      <c r="N448" s="35"/>
      <c r="O448" s="26"/>
      <c r="P448" s="23"/>
      <c r="Q448" s="24"/>
      <c r="R448" s="29"/>
      <c r="S448" s="29"/>
      <c r="T448" s="43"/>
      <c r="U448" s="29"/>
      <c r="V448" s="42"/>
      <c r="W448" s="29"/>
    </row>
    <row r="449" ht="15.75" customHeight="1">
      <c r="A449" s="29"/>
      <c r="B449" s="16"/>
      <c r="C449" s="29"/>
      <c r="D449" s="35"/>
      <c r="E449" s="35"/>
      <c r="F449" s="29"/>
      <c r="G449" s="19"/>
      <c r="H449" s="41"/>
      <c r="I449" s="25"/>
      <c r="J449" s="25"/>
      <c r="K449" s="41"/>
      <c r="L449" s="35"/>
      <c r="M449" s="35"/>
      <c r="N449" s="35"/>
      <c r="O449" s="26"/>
      <c r="P449" s="23"/>
      <c r="Q449" s="24"/>
      <c r="R449" s="29"/>
      <c r="S449" s="29"/>
      <c r="T449" s="43"/>
      <c r="U449" s="29"/>
      <c r="V449" s="42"/>
      <c r="W449" s="29"/>
    </row>
    <row r="450" ht="15.75" customHeight="1">
      <c r="A450" s="29"/>
      <c r="B450" s="16"/>
      <c r="C450" s="29"/>
      <c r="D450" s="35"/>
      <c r="E450" s="35"/>
      <c r="F450" s="29"/>
      <c r="G450" s="19"/>
      <c r="H450" s="41"/>
      <c r="I450" s="25"/>
      <c r="J450" s="25"/>
      <c r="K450" s="41"/>
      <c r="L450" s="35"/>
      <c r="M450" s="35"/>
      <c r="N450" s="35"/>
      <c r="O450" s="26"/>
      <c r="P450" s="23"/>
      <c r="Q450" s="24"/>
      <c r="R450" s="29"/>
      <c r="S450" s="29"/>
      <c r="T450" s="43"/>
      <c r="U450" s="29"/>
      <c r="V450" s="42"/>
      <c r="W450" s="29"/>
    </row>
    <row r="451" ht="15.75" customHeight="1">
      <c r="A451" s="29"/>
      <c r="B451" s="16"/>
      <c r="C451" s="29"/>
      <c r="D451" s="35"/>
      <c r="E451" s="35"/>
      <c r="F451" s="29"/>
      <c r="G451" s="19"/>
      <c r="H451" s="41"/>
      <c r="I451" s="25"/>
      <c r="J451" s="25"/>
      <c r="K451" s="41"/>
      <c r="L451" s="35"/>
      <c r="M451" s="35"/>
      <c r="N451" s="35"/>
      <c r="O451" s="26"/>
      <c r="P451" s="23"/>
      <c r="Q451" s="24"/>
      <c r="R451" s="29"/>
      <c r="S451" s="29"/>
      <c r="T451" s="43"/>
      <c r="U451" s="29"/>
      <c r="V451" s="42"/>
      <c r="W451" s="29"/>
    </row>
    <row r="452" ht="15.75" customHeight="1">
      <c r="A452" s="29"/>
      <c r="B452" s="16"/>
      <c r="C452" s="29"/>
      <c r="D452" s="35"/>
      <c r="E452" s="35"/>
      <c r="F452" s="29"/>
      <c r="G452" s="19"/>
      <c r="H452" s="41"/>
      <c r="I452" s="25"/>
      <c r="J452" s="25"/>
      <c r="K452" s="41"/>
      <c r="L452" s="35"/>
      <c r="M452" s="35"/>
      <c r="N452" s="35"/>
      <c r="O452" s="26"/>
      <c r="P452" s="23"/>
      <c r="Q452" s="24"/>
      <c r="R452" s="29"/>
      <c r="S452" s="29"/>
      <c r="T452" s="43"/>
      <c r="U452" s="29"/>
      <c r="V452" s="42"/>
      <c r="W452" s="29"/>
    </row>
    <row r="453" ht="15.75" customHeight="1">
      <c r="A453" s="29"/>
      <c r="B453" s="16"/>
      <c r="C453" s="29"/>
      <c r="D453" s="35"/>
      <c r="E453" s="35"/>
      <c r="F453" s="29"/>
      <c r="G453" s="19"/>
      <c r="H453" s="41"/>
      <c r="I453" s="25"/>
      <c r="J453" s="25"/>
      <c r="K453" s="41"/>
      <c r="L453" s="35"/>
      <c r="M453" s="35"/>
      <c r="N453" s="35"/>
      <c r="O453" s="26"/>
      <c r="P453" s="23"/>
      <c r="Q453" s="24"/>
      <c r="R453" s="29"/>
      <c r="S453" s="29"/>
      <c r="T453" s="43"/>
      <c r="U453" s="29"/>
      <c r="V453" s="42"/>
      <c r="W453" s="29"/>
    </row>
    <row r="454" ht="15.75" customHeight="1">
      <c r="A454" s="29"/>
      <c r="B454" s="16"/>
      <c r="C454" s="29"/>
      <c r="D454" s="35"/>
      <c r="E454" s="35"/>
      <c r="F454" s="29"/>
      <c r="G454" s="19"/>
      <c r="H454" s="41"/>
      <c r="I454" s="25"/>
      <c r="J454" s="25"/>
      <c r="K454" s="41"/>
      <c r="L454" s="35"/>
      <c r="M454" s="35"/>
      <c r="N454" s="35"/>
      <c r="O454" s="26"/>
      <c r="P454" s="23"/>
      <c r="Q454" s="24"/>
      <c r="R454" s="29"/>
      <c r="S454" s="29"/>
      <c r="T454" s="43"/>
      <c r="U454" s="29"/>
      <c r="V454" s="42"/>
      <c r="W454" s="29"/>
    </row>
    <row r="455" ht="15.75" customHeight="1">
      <c r="A455" s="29"/>
      <c r="B455" s="16"/>
      <c r="C455" s="29"/>
      <c r="D455" s="35"/>
      <c r="E455" s="35"/>
      <c r="F455" s="29"/>
      <c r="G455" s="19"/>
      <c r="H455" s="41"/>
      <c r="I455" s="25"/>
      <c r="J455" s="25"/>
      <c r="K455" s="41"/>
      <c r="L455" s="35"/>
      <c r="M455" s="35"/>
      <c r="N455" s="35"/>
      <c r="O455" s="26"/>
      <c r="P455" s="23"/>
      <c r="Q455" s="24"/>
      <c r="R455" s="29"/>
      <c r="S455" s="29"/>
      <c r="T455" s="43"/>
      <c r="U455" s="29"/>
      <c r="V455" s="42"/>
      <c r="W455" s="29"/>
    </row>
    <row r="456" ht="15.75" customHeight="1">
      <c r="A456" s="29"/>
      <c r="B456" s="16"/>
      <c r="C456" s="29"/>
      <c r="D456" s="35"/>
      <c r="E456" s="35"/>
      <c r="F456" s="29"/>
      <c r="G456" s="19"/>
      <c r="H456" s="41"/>
      <c r="I456" s="25"/>
      <c r="J456" s="25"/>
      <c r="K456" s="41"/>
      <c r="L456" s="35"/>
      <c r="M456" s="35"/>
      <c r="N456" s="35"/>
      <c r="O456" s="26"/>
      <c r="P456" s="23"/>
      <c r="Q456" s="24"/>
      <c r="R456" s="29"/>
      <c r="S456" s="29"/>
      <c r="T456" s="43"/>
      <c r="U456" s="29"/>
      <c r="V456" s="42"/>
      <c r="W456" s="29"/>
    </row>
    <row r="457" ht="15.75" customHeight="1">
      <c r="A457" s="29"/>
      <c r="B457" s="16"/>
      <c r="C457" s="29"/>
      <c r="D457" s="35"/>
      <c r="E457" s="35"/>
      <c r="F457" s="29"/>
      <c r="G457" s="19"/>
      <c r="H457" s="41"/>
      <c r="I457" s="25"/>
      <c r="J457" s="25"/>
      <c r="K457" s="41"/>
      <c r="L457" s="35"/>
      <c r="M457" s="35"/>
      <c r="N457" s="35"/>
      <c r="O457" s="26"/>
      <c r="P457" s="23"/>
      <c r="Q457" s="24"/>
      <c r="R457" s="29"/>
      <c r="S457" s="29"/>
      <c r="T457" s="43"/>
      <c r="U457" s="29"/>
      <c r="V457" s="42"/>
      <c r="W457" s="29"/>
    </row>
    <row r="458" ht="15.75" customHeight="1">
      <c r="A458" s="29"/>
      <c r="B458" s="16"/>
      <c r="C458" s="29"/>
      <c r="D458" s="35"/>
      <c r="E458" s="35"/>
      <c r="F458" s="29"/>
      <c r="G458" s="19"/>
      <c r="H458" s="41"/>
      <c r="I458" s="25"/>
      <c r="J458" s="25"/>
      <c r="K458" s="41"/>
      <c r="L458" s="35"/>
      <c r="M458" s="35"/>
      <c r="N458" s="35"/>
      <c r="O458" s="26"/>
      <c r="P458" s="23"/>
      <c r="Q458" s="24"/>
      <c r="R458" s="29"/>
      <c r="S458" s="29"/>
      <c r="T458" s="43"/>
      <c r="U458" s="29"/>
      <c r="V458" s="42"/>
      <c r="W458" s="29"/>
    </row>
    <row r="459" ht="15.75" customHeight="1">
      <c r="A459" s="29"/>
      <c r="B459" s="16"/>
      <c r="C459" s="29"/>
      <c r="D459" s="35"/>
      <c r="E459" s="35"/>
      <c r="F459" s="29"/>
      <c r="G459" s="19"/>
      <c r="H459" s="41"/>
      <c r="I459" s="25"/>
      <c r="J459" s="25"/>
      <c r="K459" s="41"/>
      <c r="L459" s="35"/>
      <c r="M459" s="35"/>
      <c r="N459" s="35"/>
      <c r="O459" s="26"/>
      <c r="P459" s="23"/>
      <c r="Q459" s="24"/>
      <c r="R459" s="29"/>
      <c r="S459" s="29"/>
      <c r="T459" s="43"/>
      <c r="U459" s="29"/>
      <c r="V459" s="42"/>
      <c r="W459" s="29"/>
    </row>
    <row r="460" ht="15.75" customHeight="1">
      <c r="A460" s="29"/>
      <c r="B460" s="16"/>
      <c r="C460" s="29"/>
      <c r="D460" s="35"/>
      <c r="E460" s="35"/>
      <c r="F460" s="29"/>
      <c r="G460" s="19"/>
      <c r="H460" s="41"/>
      <c r="I460" s="25"/>
      <c r="J460" s="25"/>
      <c r="K460" s="41"/>
      <c r="L460" s="35"/>
      <c r="M460" s="35"/>
      <c r="N460" s="35"/>
      <c r="O460" s="26"/>
      <c r="P460" s="23"/>
      <c r="Q460" s="24"/>
      <c r="R460" s="29"/>
      <c r="S460" s="29"/>
      <c r="T460" s="43"/>
      <c r="U460" s="29"/>
      <c r="V460" s="42"/>
      <c r="W460" s="29"/>
    </row>
    <row r="461" ht="15.75" customHeight="1">
      <c r="A461" s="29"/>
      <c r="B461" s="16"/>
      <c r="C461" s="29"/>
      <c r="D461" s="35"/>
      <c r="E461" s="35"/>
      <c r="F461" s="29"/>
      <c r="G461" s="19"/>
      <c r="H461" s="41"/>
      <c r="I461" s="25"/>
      <c r="J461" s="25"/>
      <c r="K461" s="41"/>
      <c r="L461" s="35"/>
      <c r="M461" s="35"/>
      <c r="N461" s="35"/>
      <c r="O461" s="26"/>
      <c r="P461" s="23"/>
      <c r="Q461" s="24"/>
      <c r="R461" s="29"/>
      <c r="S461" s="29"/>
      <c r="T461" s="43"/>
      <c r="U461" s="29"/>
      <c r="V461" s="42"/>
      <c r="W461" s="29"/>
    </row>
    <row r="462" ht="15.75" customHeight="1">
      <c r="A462" s="29"/>
      <c r="B462" s="16"/>
      <c r="C462" s="29"/>
      <c r="D462" s="35"/>
      <c r="E462" s="35"/>
      <c r="F462" s="29"/>
      <c r="G462" s="19"/>
      <c r="H462" s="41"/>
      <c r="I462" s="25"/>
      <c r="J462" s="25"/>
      <c r="K462" s="41"/>
      <c r="L462" s="35"/>
      <c r="M462" s="35"/>
      <c r="N462" s="35"/>
      <c r="O462" s="26"/>
      <c r="P462" s="23"/>
      <c r="Q462" s="24"/>
      <c r="R462" s="29"/>
      <c r="S462" s="29"/>
      <c r="T462" s="43"/>
      <c r="U462" s="29"/>
      <c r="V462" s="42"/>
      <c r="W462" s="29"/>
    </row>
    <row r="463" ht="15.75" customHeight="1">
      <c r="A463" s="29"/>
      <c r="B463" s="16"/>
      <c r="C463" s="29"/>
      <c r="D463" s="35"/>
      <c r="E463" s="35"/>
      <c r="F463" s="29"/>
      <c r="G463" s="19"/>
      <c r="H463" s="41"/>
      <c r="I463" s="25"/>
      <c r="J463" s="25"/>
      <c r="K463" s="41"/>
      <c r="L463" s="35"/>
      <c r="M463" s="35"/>
      <c r="N463" s="35"/>
      <c r="O463" s="26"/>
      <c r="P463" s="23"/>
      <c r="Q463" s="24"/>
      <c r="R463" s="29"/>
      <c r="S463" s="29"/>
      <c r="T463" s="43"/>
      <c r="U463" s="29"/>
      <c r="V463" s="42"/>
      <c r="W463" s="29"/>
    </row>
    <row r="464" ht="15.75" customHeight="1">
      <c r="A464" s="29"/>
      <c r="B464" s="16"/>
      <c r="C464" s="29"/>
      <c r="D464" s="35"/>
      <c r="E464" s="35"/>
      <c r="F464" s="29"/>
      <c r="G464" s="19"/>
      <c r="H464" s="41"/>
      <c r="I464" s="25"/>
      <c r="J464" s="25"/>
      <c r="K464" s="41"/>
      <c r="L464" s="35"/>
      <c r="M464" s="35"/>
      <c r="N464" s="35"/>
      <c r="O464" s="26"/>
      <c r="P464" s="23"/>
      <c r="Q464" s="24"/>
      <c r="R464" s="29"/>
      <c r="S464" s="29"/>
      <c r="T464" s="43"/>
      <c r="U464" s="29"/>
      <c r="V464" s="42"/>
      <c r="W464" s="29"/>
    </row>
    <row r="465" ht="15.75" customHeight="1">
      <c r="A465" s="29"/>
      <c r="B465" s="16"/>
      <c r="C465" s="29"/>
      <c r="D465" s="35"/>
      <c r="E465" s="35"/>
      <c r="F465" s="29"/>
      <c r="G465" s="19"/>
      <c r="H465" s="41"/>
      <c r="I465" s="25"/>
      <c r="J465" s="25"/>
      <c r="K465" s="41"/>
      <c r="L465" s="35"/>
      <c r="M465" s="35"/>
      <c r="N465" s="35"/>
      <c r="O465" s="26"/>
      <c r="P465" s="23"/>
      <c r="Q465" s="24"/>
      <c r="R465" s="29"/>
      <c r="S465" s="29"/>
      <c r="T465" s="43"/>
      <c r="U465" s="29"/>
      <c r="V465" s="42"/>
      <c r="W465" s="29"/>
    </row>
    <row r="466" ht="15.75" customHeight="1">
      <c r="A466" s="29"/>
      <c r="B466" s="16"/>
      <c r="C466" s="29"/>
      <c r="D466" s="35"/>
      <c r="E466" s="35"/>
      <c r="F466" s="29"/>
      <c r="G466" s="19"/>
      <c r="H466" s="41"/>
      <c r="I466" s="25"/>
      <c r="J466" s="25"/>
      <c r="K466" s="41"/>
      <c r="L466" s="35"/>
      <c r="M466" s="35"/>
      <c r="N466" s="35"/>
      <c r="O466" s="26"/>
      <c r="P466" s="23"/>
      <c r="Q466" s="24"/>
      <c r="R466" s="29"/>
      <c r="S466" s="29"/>
      <c r="T466" s="43"/>
      <c r="U466" s="29"/>
      <c r="V466" s="42"/>
      <c r="W466" s="29"/>
    </row>
    <row r="467" ht="15.75" customHeight="1">
      <c r="A467" s="29"/>
      <c r="B467" s="16"/>
      <c r="C467" s="29"/>
      <c r="D467" s="35"/>
      <c r="E467" s="35"/>
      <c r="F467" s="29"/>
      <c r="G467" s="19"/>
      <c r="H467" s="41"/>
      <c r="I467" s="25"/>
      <c r="J467" s="25"/>
      <c r="K467" s="41"/>
      <c r="L467" s="35"/>
      <c r="M467" s="35"/>
      <c r="N467" s="35"/>
      <c r="O467" s="26"/>
      <c r="P467" s="23"/>
      <c r="Q467" s="24"/>
      <c r="R467" s="29"/>
      <c r="S467" s="29"/>
      <c r="T467" s="43"/>
      <c r="U467" s="29"/>
      <c r="V467" s="42"/>
      <c r="W467" s="29"/>
    </row>
    <row r="468" ht="15.75" customHeight="1">
      <c r="A468" s="29"/>
      <c r="B468" s="16"/>
      <c r="C468" s="29"/>
      <c r="D468" s="35"/>
      <c r="E468" s="35"/>
      <c r="F468" s="29"/>
      <c r="G468" s="19"/>
      <c r="H468" s="41"/>
      <c r="I468" s="25"/>
      <c r="J468" s="25"/>
      <c r="K468" s="41"/>
      <c r="L468" s="35"/>
      <c r="M468" s="35"/>
      <c r="N468" s="35"/>
      <c r="O468" s="26"/>
      <c r="P468" s="23"/>
      <c r="Q468" s="24"/>
      <c r="R468" s="29"/>
      <c r="S468" s="29"/>
      <c r="T468" s="43"/>
      <c r="U468" s="29"/>
      <c r="V468" s="42"/>
      <c r="W468" s="29"/>
    </row>
    <row r="469" ht="15.75" customHeight="1">
      <c r="A469" s="29"/>
      <c r="B469" s="16"/>
      <c r="C469" s="29"/>
      <c r="D469" s="35"/>
      <c r="E469" s="35"/>
      <c r="F469" s="29"/>
      <c r="G469" s="19"/>
      <c r="H469" s="41"/>
      <c r="I469" s="25"/>
      <c r="J469" s="25"/>
      <c r="K469" s="41"/>
      <c r="L469" s="35"/>
      <c r="M469" s="35"/>
      <c r="N469" s="35"/>
      <c r="O469" s="26"/>
      <c r="P469" s="23"/>
      <c r="Q469" s="24"/>
      <c r="R469" s="29"/>
      <c r="S469" s="29"/>
      <c r="T469" s="43"/>
      <c r="U469" s="29"/>
      <c r="V469" s="42"/>
      <c r="W469" s="29"/>
    </row>
    <row r="470" ht="15.75" customHeight="1">
      <c r="A470" s="29"/>
      <c r="B470" s="16"/>
      <c r="C470" s="29"/>
      <c r="D470" s="35"/>
      <c r="E470" s="35"/>
      <c r="F470" s="29"/>
      <c r="G470" s="19"/>
      <c r="H470" s="41"/>
      <c r="I470" s="25"/>
      <c r="J470" s="25"/>
      <c r="K470" s="41"/>
      <c r="L470" s="35"/>
      <c r="M470" s="35"/>
      <c r="N470" s="35"/>
      <c r="O470" s="26"/>
      <c r="P470" s="23"/>
      <c r="Q470" s="24"/>
      <c r="R470" s="29"/>
      <c r="S470" s="29"/>
      <c r="T470" s="43"/>
      <c r="U470" s="29"/>
      <c r="V470" s="42"/>
      <c r="W470" s="29"/>
    </row>
    <row r="471" ht="15.75" customHeight="1">
      <c r="A471" s="29"/>
      <c r="B471" s="16"/>
      <c r="C471" s="29"/>
      <c r="D471" s="35"/>
      <c r="E471" s="35"/>
      <c r="F471" s="29"/>
      <c r="G471" s="19"/>
      <c r="H471" s="41"/>
      <c r="I471" s="25"/>
      <c r="J471" s="25"/>
      <c r="K471" s="41"/>
      <c r="L471" s="35"/>
      <c r="M471" s="35"/>
      <c r="N471" s="35"/>
      <c r="O471" s="26"/>
      <c r="P471" s="23"/>
      <c r="Q471" s="24"/>
      <c r="R471" s="29"/>
      <c r="S471" s="29"/>
      <c r="T471" s="43"/>
      <c r="U471" s="29"/>
      <c r="V471" s="42"/>
      <c r="W471" s="29"/>
    </row>
    <row r="472" ht="15.75" customHeight="1">
      <c r="A472" s="29"/>
      <c r="B472" s="16"/>
      <c r="C472" s="29"/>
      <c r="D472" s="35"/>
      <c r="E472" s="35"/>
      <c r="F472" s="29"/>
      <c r="G472" s="19"/>
      <c r="H472" s="41"/>
      <c r="I472" s="25"/>
      <c r="J472" s="25"/>
      <c r="K472" s="41"/>
      <c r="L472" s="35"/>
      <c r="M472" s="35"/>
      <c r="N472" s="35"/>
      <c r="O472" s="26"/>
      <c r="P472" s="23"/>
      <c r="Q472" s="24"/>
      <c r="R472" s="29"/>
      <c r="S472" s="29"/>
      <c r="T472" s="43"/>
      <c r="U472" s="29"/>
      <c r="V472" s="42"/>
      <c r="W472" s="29"/>
    </row>
    <row r="473" ht="15.75" customHeight="1">
      <c r="A473" s="29"/>
      <c r="B473" s="16"/>
      <c r="C473" s="29"/>
      <c r="D473" s="35"/>
      <c r="E473" s="35"/>
      <c r="F473" s="29"/>
      <c r="G473" s="19"/>
      <c r="H473" s="41"/>
      <c r="I473" s="25"/>
      <c r="J473" s="25"/>
      <c r="K473" s="41"/>
      <c r="L473" s="35"/>
      <c r="M473" s="35"/>
      <c r="N473" s="35"/>
      <c r="O473" s="26"/>
      <c r="P473" s="23"/>
      <c r="Q473" s="24"/>
      <c r="R473" s="29"/>
      <c r="S473" s="29"/>
      <c r="T473" s="43"/>
      <c r="U473" s="29"/>
      <c r="V473" s="42"/>
      <c r="W473" s="29"/>
    </row>
    <row r="474" ht="15.75" customHeight="1">
      <c r="A474" s="29"/>
      <c r="B474" s="16"/>
      <c r="C474" s="29"/>
      <c r="D474" s="35"/>
      <c r="E474" s="35"/>
      <c r="F474" s="29"/>
      <c r="G474" s="19"/>
      <c r="H474" s="41"/>
      <c r="I474" s="25"/>
      <c r="J474" s="25"/>
      <c r="K474" s="41"/>
      <c r="L474" s="35"/>
      <c r="M474" s="35"/>
      <c r="N474" s="35"/>
      <c r="O474" s="26"/>
      <c r="P474" s="23"/>
      <c r="Q474" s="24"/>
      <c r="R474" s="29"/>
      <c r="S474" s="29"/>
      <c r="T474" s="43"/>
      <c r="U474" s="29"/>
      <c r="V474" s="42"/>
      <c r="W474" s="29"/>
    </row>
    <row r="475" ht="15.75" customHeight="1">
      <c r="A475" s="29"/>
      <c r="B475" s="16"/>
      <c r="C475" s="29"/>
      <c r="D475" s="35"/>
      <c r="E475" s="35"/>
      <c r="F475" s="29"/>
      <c r="G475" s="19"/>
      <c r="H475" s="41"/>
      <c r="I475" s="25"/>
      <c r="J475" s="25"/>
      <c r="K475" s="41"/>
      <c r="L475" s="35"/>
      <c r="M475" s="35"/>
      <c r="N475" s="35"/>
      <c r="O475" s="26"/>
      <c r="P475" s="23"/>
      <c r="Q475" s="24"/>
      <c r="R475" s="29"/>
      <c r="S475" s="29"/>
      <c r="T475" s="43"/>
      <c r="U475" s="29"/>
      <c r="V475" s="42"/>
      <c r="W475" s="29"/>
    </row>
    <row r="476" ht="15.75" customHeight="1">
      <c r="A476" s="29"/>
      <c r="B476" s="16"/>
      <c r="C476" s="29"/>
      <c r="D476" s="35"/>
      <c r="E476" s="35"/>
      <c r="F476" s="29"/>
      <c r="G476" s="19"/>
      <c r="H476" s="41"/>
      <c r="I476" s="25"/>
      <c r="J476" s="25"/>
      <c r="K476" s="41"/>
      <c r="L476" s="35"/>
      <c r="M476" s="35"/>
      <c r="N476" s="35"/>
      <c r="O476" s="26"/>
      <c r="P476" s="23"/>
      <c r="Q476" s="24"/>
      <c r="R476" s="29"/>
      <c r="S476" s="29"/>
      <c r="T476" s="43"/>
      <c r="U476" s="29"/>
      <c r="V476" s="42"/>
      <c r="W476" s="29"/>
    </row>
    <row r="477" ht="15.75" customHeight="1">
      <c r="A477" s="29"/>
      <c r="B477" s="16"/>
      <c r="C477" s="29"/>
      <c r="D477" s="35"/>
      <c r="E477" s="35"/>
      <c r="F477" s="29"/>
      <c r="G477" s="19"/>
      <c r="H477" s="41"/>
      <c r="I477" s="25"/>
      <c r="J477" s="25"/>
      <c r="K477" s="41"/>
      <c r="L477" s="35"/>
      <c r="M477" s="35"/>
      <c r="N477" s="35"/>
      <c r="O477" s="26"/>
      <c r="P477" s="23"/>
      <c r="Q477" s="24"/>
      <c r="R477" s="29"/>
      <c r="S477" s="29"/>
      <c r="T477" s="43"/>
      <c r="U477" s="29"/>
      <c r="V477" s="42"/>
      <c r="W477" s="29"/>
    </row>
    <row r="478" ht="15.75" customHeight="1">
      <c r="A478" s="29"/>
      <c r="B478" s="16"/>
      <c r="C478" s="29"/>
      <c r="D478" s="35"/>
      <c r="E478" s="35"/>
      <c r="F478" s="29"/>
      <c r="G478" s="19"/>
      <c r="H478" s="41"/>
      <c r="I478" s="25"/>
      <c r="J478" s="25"/>
      <c r="K478" s="41"/>
      <c r="L478" s="35"/>
      <c r="M478" s="35"/>
      <c r="N478" s="35"/>
      <c r="O478" s="26"/>
      <c r="P478" s="23"/>
      <c r="Q478" s="24"/>
      <c r="R478" s="29"/>
      <c r="S478" s="29"/>
      <c r="T478" s="43"/>
      <c r="U478" s="29"/>
      <c r="V478" s="42"/>
      <c r="W478" s="29"/>
    </row>
    <row r="479" ht="15.75" customHeight="1">
      <c r="A479" s="29"/>
      <c r="B479" s="16"/>
      <c r="C479" s="29"/>
      <c r="D479" s="35"/>
      <c r="E479" s="35"/>
      <c r="F479" s="29"/>
      <c r="G479" s="19"/>
      <c r="H479" s="41"/>
      <c r="I479" s="25"/>
      <c r="J479" s="25"/>
      <c r="K479" s="41"/>
      <c r="L479" s="35"/>
      <c r="M479" s="35"/>
      <c r="N479" s="35"/>
      <c r="O479" s="26"/>
      <c r="P479" s="23"/>
      <c r="Q479" s="24"/>
      <c r="R479" s="29"/>
      <c r="S479" s="29"/>
      <c r="T479" s="43"/>
      <c r="U479" s="29"/>
      <c r="V479" s="42"/>
      <c r="W479" s="29"/>
    </row>
    <row r="480" ht="15.75" customHeight="1">
      <c r="A480" s="29"/>
      <c r="B480" s="16"/>
      <c r="C480" s="29"/>
      <c r="D480" s="35"/>
      <c r="E480" s="35"/>
      <c r="F480" s="29"/>
      <c r="G480" s="19"/>
      <c r="H480" s="41"/>
      <c r="I480" s="25"/>
      <c r="J480" s="25"/>
      <c r="K480" s="41"/>
      <c r="L480" s="35"/>
      <c r="M480" s="35"/>
      <c r="N480" s="35"/>
      <c r="O480" s="26"/>
      <c r="P480" s="23"/>
      <c r="Q480" s="24"/>
      <c r="R480" s="29"/>
      <c r="S480" s="29"/>
      <c r="T480" s="43"/>
      <c r="U480" s="29"/>
      <c r="V480" s="42"/>
      <c r="W480" s="29"/>
    </row>
    <row r="481" ht="15.75" customHeight="1">
      <c r="A481" s="29"/>
      <c r="B481" s="16"/>
      <c r="C481" s="29"/>
      <c r="D481" s="35"/>
      <c r="E481" s="35"/>
      <c r="F481" s="29"/>
      <c r="G481" s="19"/>
      <c r="H481" s="41"/>
      <c r="I481" s="25"/>
      <c r="J481" s="25"/>
      <c r="K481" s="41"/>
      <c r="L481" s="35"/>
      <c r="M481" s="35"/>
      <c r="N481" s="35"/>
      <c r="O481" s="26"/>
      <c r="P481" s="23"/>
      <c r="Q481" s="24"/>
      <c r="R481" s="29"/>
      <c r="S481" s="29"/>
      <c r="T481" s="43"/>
      <c r="U481" s="29"/>
      <c r="V481" s="42"/>
      <c r="W481" s="29"/>
    </row>
    <row r="482" ht="15.75" customHeight="1">
      <c r="A482" s="29"/>
      <c r="B482" s="16"/>
      <c r="C482" s="29"/>
      <c r="D482" s="35"/>
      <c r="E482" s="35"/>
      <c r="F482" s="29"/>
      <c r="G482" s="19"/>
      <c r="H482" s="41"/>
      <c r="I482" s="25"/>
      <c r="J482" s="25"/>
      <c r="K482" s="41"/>
      <c r="L482" s="35"/>
      <c r="M482" s="35"/>
      <c r="N482" s="35"/>
      <c r="O482" s="26"/>
      <c r="P482" s="23"/>
      <c r="Q482" s="24"/>
      <c r="R482" s="29"/>
      <c r="S482" s="29"/>
      <c r="T482" s="43"/>
      <c r="U482" s="29"/>
      <c r="V482" s="42"/>
      <c r="W482" s="29"/>
    </row>
    <row r="483" ht="15.75" customHeight="1">
      <c r="A483" s="29"/>
      <c r="B483" s="16"/>
      <c r="C483" s="29"/>
      <c r="D483" s="35"/>
      <c r="E483" s="35"/>
      <c r="F483" s="29"/>
      <c r="G483" s="19"/>
      <c r="H483" s="41"/>
      <c r="I483" s="25"/>
      <c r="J483" s="25"/>
      <c r="K483" s="41"/>
      <c r="L483" s="35"/>
      <c r="M483" s="35"/>
      <c r="N483" s="35"/>
      <c r="O483" s="26"/>
      <c r="P483" s="23"/>
      <c r="Q483" s="24"/>
      <c r="R483" s="29"/>
      <c r="S483" s="29"/>
      <c r="T483" s="43"/>
      <c r="U483" s="29"/>
      <c r="V483" s="42"/>
      <c r="W483" s="29"/>
    </row>
    <row r="484" ht="15.75" customHeight="1">
      <c r="A484" s="29"/>
      <c r="B484" s="16"/>
      <c r="C484" s="29"/>
      <c r="D484" s="35"/>
      <c r="E484" s="35"/>
      <c r="F484" s="29"/>
      <c r="G484" s="19"/>
      <c r="H484" s="41"/>
      <c r="I484" s="25"/>
      <c r="J484" s="25"/>
      <c r="K484" s="41"/>
      <c r="L484" s="35"/>
      <c r="M484" s="35"/>
      <c r="N484" s="35"/>
      <c r="O484" s="26"/>
      <c r="P484" s="23"/>
      <c r="Q484" s="24"/>
      <c r="R484" s="29"/>
      <c r="S484" s="29"/>
      <c r="T484" s="43"/>
      <c r="U484" s="29"/>
      <c r="V484" s="42"/>
      <c r="W484" s="29"/>
    </row>
    <row r="485" ht="15.75" customHeight="1">
      <c r="A485" s="29"/>
      <c r="B485" s="16"/>
      <c r="C485" s="29"/>
      <c r="D485" s="35"/>
      <c r="E485" s="35"/>
      <c r="F485" s="29"/>
      <c r="G485" s="19"/>
      <c r="H485" s="41"/>
      <c r="I485" s="25"/>
      <c r="J485" s="25"/>
      <c r="K485" s="41"/>
      <c r="L485" s="35"/>
      <c r="M485" s="35"/>
      <c r="N485" s="35"/>
      <c r="O485" s="26"/>
      <c r="P485" s="23"/>
      <c r="Q485" s="24"/>
      <c r="R485" s="29"/>
      <c r="S485" s="29"/>
      <c r="T485" s="43"/>
      <c r="U485" s="29"/>
      <c r="V485" s="42"/>
      <c r="W485" s="29"/>
    </row>
    <row r="486" ht="15.75" customHeight="1">
      <c r="A486" s="29"/>
      <c r="B486" s="16"/>
      <c r="C486" s="29"/>
      <c r="D486" s="35"/>
      <c r="E486" s="35"/>
      <c r="F486" s="29"/>
      <c r="G486" s="19"/>
      <c r="H486" s="41"/>
      <c r="I486" s="25"/>
      <c r="J486" s="25"/>
      <c r="K486" s="41"/>
      <c r="L486" s="35"/>
      <c r="M486" s="35"/>
      <c r="N486" s="35"/>
      <c r="O486" s="26"/>
      <c r="P486" s="23"/>
      <c r="Q486" s="24"/>
      <c r="R486" s="29"/>
      <c r="S486" s="29"/>
      <c r="T486" s="43"/>
      <c r="U486" s="29"/>
      <c r="V486" s="42"/>
      <c r="W486" s="29"/>
    </row>
    <row r="487" ht="15.75" customHeight="1">
      <c r="A487" s="29"/>
      <c r="B487" s="16"/>
      <c r="C487" s="29"/>
      <c r="D487" s="35"/>
      <c r="E487" s="35"/>
      <c r="F487" s="29"/>
      <c r="G487" s="19"/>
      <c r="H487" s="41"/>
      <c r="I487" s="25"/>
      <c r="J487" s="25"/>
      <c r="K487" s="41"/>
      <c r="L487" s="35"/>
      <c r="M487" s="35"/>
      <c r="N487" s="35"/>
      <c r="O487" s="26"/>
      <c r="P487" s="23"/>
      <c r="Q487" s="24"/>
      <c r="R487" s="29"/>
      <c r="S487" s="29"/>
      <c r="T487" s="43"/>
      <c r="U487" s="29"/>
      <c r="V487" s="42"/>
      <c r="W487" s="29"/>
    </row>
    <row r="488" ht="15.75" customHeight="1">
      <c r="A488" s="29"/>
      <c r="B488" s="16"/>
      <c r="C488" s="29"/>
      <c r="D488" s="35"/>
      <c r="E488" s="35"/>
      <c r="F488" s="29"/>
      <c r="G488" s="19"/>
      <c r="H488" s="41"/>
      <c r="I488" s="25"/>
      <c r="J488" s="25"/>
      <c r="K488" s="41"/>
      <c r="L488" s="35"/>
      <c r="M488" s="35"/>
      <c r="N488" s="35"/>
      <c r="O488" s="26"/>
      <c r="P488" s="23"/>
      <c r="Q488" s="24"/>
      <c r="R488" s="29"/>
      <c r="S488" s="29"/>
      <c r="T488" s="43"/>
      <c r="U488" s="29"/>
      <c r="V488" s="42"/>
      <c r="W488" s="29"/>
    </row>
    <row r="489" ht="15.75" customHeight="1">
      <c r="A489" s="29"/>
      <c r="B489" s="16"/>
      <c r="C489" s="29"/>
      <c r="D489" s="35"/>
      <c r="E489" s="35"/>
      <c r="F489" s="29"/>
      <c r="G489" s="19"/>
      <c r="H489" s="41"/>
      <c r="I489" s="25"/>
      <c r="J489" s="25"/>
      <c r="K489" s="41"/>
      <c r="L489" s="35"/>
      <c r="M489" s="35"/>
      <c r="N489" s="35"/>
      <c r="O489" s="26"/>
      <c r="P489" s="23"/>
      <c r="Q489" s="24"/>
      <c r="R489" s="29"/>
      <c r="S489" s="29"/>
      <c r="T489" s="43"/>
      <c r="U489" s="29"/>
      <c r="V489" s="42"/>
      <c r="W489" s="29"/>
    </row>
    <row r="490" ht="15.75" customHeight="1">
      <c r="A490" s="29"/>
      <c r="B490" s="16"/>
      <c r="C490" s="29"/>
      <c r="D490" s="35"/>
      <c r="E490" s="35"/>
      <c r="F490" s="29"/>
      <c r="G490" s="19"/>
      <c r="H490" s="41"/>
      <c r="I490" s="25"/>
      <c r="J490" s="25"/>
      <c r="K490" s="41"/>
      <c r="L490" s="35"/>
      <c r="M490" s="35"/>
      <c r="N490" s="35"/>
      <c r="O490" s="26"/>
      <c r="P490" s="23"/>
      <c r="Q490" s="24"/>
      <c r="R490" s="29"/>
      <c r="S490" s="29"/>
      <c r="T490" s="43"/>
      <c r="U490" s="29"/>
      <c r="V490" s="42"/>
      <c r="W490" s="29"/>
    </row>
    <row r="491" ht="15.75" customHeight="1">
      <c r="A491" s="29"/>
      <c r="B491" s="16"/>
      <c r="C491" s="29"/>
      <c r="D491" s="35"/>
      <c r="E491" s="35"/>
      <c r="F491" s="29"/>
      <c r="G491" s="19"/>
      <c r="H491" s="41"/>
      <c r="I491" s="25"/>
      <c r="J491" s="25"/>
      <c r="K491" s="41"/>
      <c r="L491" s="35"/>
      <c r="M491" s="35"/>
      <c r="N491" s="35"/>
      <c r="O491" s="26"/>
      <c r="P491" s="23"/>
      <c r="Q491" s="24"/>
      <c r="R491" s="29"/>
      <c r="S491" s="29"/>
      <c r="T491" s="43"/>
      <c r="U491" s="29"/>
      <c r="V491" s="42"/>
      <c r="W491" s="29"/>
    </row>
    <row r="492" ht="15.75" customHeight="1">
      <c r="A492" s="29"/>
      <c r="B492" s="16"/>
      <c r="C492" s="29"/>
      <c r="D492" s="35"/>
      <c r="E492" s="35"/>
      <c r="F492" s="29"/>
      <c r="G492" s="19"/>
      <c r="H492" s="41"/>
      <c r="I492" s="25"/>
      <c r="J492" s="25"/>
      <c r="K492" s="41"/>
      <c r="L492" s="35"/>
      <c r="M492" s="35"/>
      <c r="N492" s="35"/>
      <c r="O492" s="26"/>
      <c r="P492" s="23"/>
      <c r="Q492" s="24"/>
      <c r="R492" s="29"/>
      <c r="S492" s="29"/>
      <c r="T492" s="43"/>
      <c r="U492" s="29"/>
      <c r="V492" s="42"/>
      <c r="W492" s="29"/>
    </row>
    <row r="493" ht="15.75" customHeight="1">
      <c r="A493" s="29"/>
      <c r="B493" s="16"/>
      <c r="C493" s="29"/>
      <c r="D493" s="35"/>
      <c r="E493" s="35"/>
      <c r="F493" s="29"/>
      <c r="G493" s="19"/>
      <c r="H493" s="41"/>
      <c r="I493" s="25"/>
      <c r="J493" s="25"/>
      <c r="K493" s="41"/>
      <c r="L493" s="35"/>
      <c r="M493" s="35"/>
      <c r="N493" s="35"/>
      <c r="O493" s="26"/>
      <c r="P493" s="23"/>
      <c r="Q493" s="24"/>
      <c r="R493" s="29"/>
      <c r="S493" s="29"/>
      <c r="T493" s="43"/>
      <c r="U493" s="29"/>
      <c r="V493" s="42"/>
      <c r="W493" s="29"/>
    </row>
    <row r="494" ht="15.75" customHeight="1">
      <c r="A494" s="29"/>
      <c r="B494" s="16"/>
      <c r="C494" s="29"/>
      <c r="D494" s="35"/>
      <c r="E494" s="35"/>
      <c r="F494" s="29"/>
      <c r="G494" s="19"/>
      <c r="H494" s="41"/>
      <c r="I494" s="25"/>
      <c r="J494" s="25"/>
      <c r="K494" s="41"/>
      <c r="L494" s="35"/>
      <c r="M494" s="35"/>
      <c r="N494" s="35"/>
      <c r="O494" s="26"/>
      <c r="P494" s="23"/>
      <c r="Q494" s="24"/>
      <c r="R494" s="29"/>
      <c r="S494" s="29"/>
      <c r="T494" s="43"/>
      <c r="U494" s="29"/>
      <c r="V494" s="42"/>
      <c r="W494" s="29"/>
    </row>
    <row r="495" ht="15.75" customHeight="1">
      <c r="A495" s="29"/>
      <c r="B495" s="16"/>
      <c r="C495" s="29"/>
      <c r="D495" s="35"/>
      <c r="E495" s="35"/>
      <c r="F495" s="29"/>
      <c r="G495" s="19"/>
      <c r="H495" s="41"/>
      <c r="I495" s="25"/>
      <c r="J495" s="25"/>
      <c r="K495" s="41"/>
      <c r="L495" s="35"/>
      <c r="M495" s="35"/>
      <c r="N495" s="35"/>
      <c r="O495" s="26"/>
      <c r="P495" s="23"/>
      <c r="Q495" s="24"/>
      <c r="R495" s="29"/>
      <c r="S495" s="29"/>
      <c r="T495" s="43"/>
      <c r="U495" s="29"/>
      <c r="V495" s="42"/>
      <c r="W495" s="29"/>
    </row>
    <row r="496" ht="15.75" customHeight="1">
      <c r="A496" s="29"/>
      <c r="B496" s="16"/>
      <c r="C496" s="29"/>
      <c r="D496" s="35"/>
      <c r="E496" s="35"/>
      <c r="F496" s="29"/>
      <c r="G496" s="19"/>
      <c r="H496" s="41"/>
      <c r="I496" s="25"/>
      <c r="J496" s="25"/>
      <c r="K496" s="41"/>
      <c r="L496" s="35"/>
      <c r="M496" s="35"/>
      <c r="N496" s="35"/>
      <c r="O496" s="26"/>
      <c r="P496" s="23"/>
      <c r="Q496" s="24"/>
      <c r="R496" s="29"/>
      <c r="S496" s="29"/>
      <c r="T496" s="43"/>
      <c r="U496" s="29"/>
      <c r="V496" s="42"/>
      <c r="W496" s="29"/>
    </row>
    <row r="497" ht="15.75" customHeight="1">
      <c r="A497" s="29"/>
      <c r="B497" s="16"/>
      <c r="C497" s="29"/>
      <c r="D497" s="35"/>
      <c r="E497" s="35"/>
      <c r="F497" s="29"/>
      <c r="G497" s="19"/>
      <c r="H497" s="41"/>
      <c r="I497" s="25"/>
      <c r="J497" s="25"/>
      <c r="K497" s="41"/>
      <c r="L497" s="35"/>
      <c r="M497" s="35"/>
      <c r="N497" s="35"/>
      <c r="O497" s="26"/>
      <c r="P497" s="23"/>
      <c r="Q497" s="24"/>
      <c r="R497" s="29"/>
      <c r="S497" s="29"/>
      <c r="T497" s="43"/>
      <c r="U497" s="29"/>
      <c r="V497" s="42"/>
      <c r="W497" s="29"/>
    </row>
    <row r="498" ht="15.75" customHeight="1">
      <c r="A498" s="29"/>
      <c r="B498" s="16"/>
      <c r="C498" s="29"/>
      <c r="D498" s="35"/>
      <c r="E498" s="35"/>
      <c r="F498" s="29"/>
      <c r="G498" s="19"/>
      <c r="H498" s="41"/>
      <c r="I498" s="25"/>
      <c r="J498" s="25"/>
      <c r="K498" s="41"/>
      <c r="L498" s="35"/>
      <c r="M498" s="35"/>
      <c r="N498" s="35"/>
      <c r="O498" s="26"/>
      <c r="P498" s="23"/>
      <c r="Q498" s="24"/>
      <c r="R498" s="29"/>
      <c r="S498" s="29"/>
      <c r="T498" s="43"/>
      <c r="U498" s="29"/>
      <c r="V498" s="42"/>
      <c r="W498" s="29"/>
    </row>
    <row r="499" ht="15.75" customHeight="1">
      <c r="A499" s="29"/>
      <c r="B499" s="16"/>
      <c r="C499" s="29"/>
      <c r="D499" s="35"/>
      <c r="E499" s="35"/>
      <c r="F499" s="29"/>
      <c r="G499" s="19"/>
      <c r="H499" s="41"/>
      <c r="I499" s="25"/>
      <c r="J499" s="25"/>
      <c r="K499" s="41"/>
      <c r="L499" s="35"/>
      <c r="M499" s="35"/>
      <c r="N499" s="35"/>
      <c r="O499" s="26"/>
      <c r="P499" s="23"/>
      <c r="Q499" s="24"/>
      <c r="R499" s="29"/>
      <c r="S499" s="29"/>
      <c r="T499" s="43"/>
      <c r="U499" s="29"/>
      <c r="V499" s="42"/>
      <c r="W499" s="29"/>
    </row>
    <row r="500" ht="15.75" customHeight="1">
      <c r="A500" s="29"/>
      <c r="B500" s="16"/>
      <c r="C500" s="29"/>
      <c r="D500" s="35"/>
      <c r="E500" s="35"/>
      <c r="F500" s="29"/>
      <c r="G500" s="19"/>
      <c r="H500" s="41"/>
      <c r="I500" s="25"/>
      <c r="J500" s="25"/>
      <c r="K500" s="41"/>
      <c r="L500" s="35"/>
      <c r="M500" s="35"/>
      <c r="N500" s="35"/>
      <c r="O500" s="26"/>
      <c r="P500" s="23"/>
      <c r="Q500" s="24"/>
      <c r="R500" s="29"/>
      <c r="S500" s="29"/>
      <c r="T500" s="43"/>
      <c r="U500" s="29"/>
      <c r="V500" s="42"/>
      <c r="W500" s="29"/>
    </row>
    <row r="501" ht="15.75" customHeight="1">
      <c r="A501" s="29"/>
      <c r="B501" s="16"/>
      <c r="C501" s="29"/>
      <c r="D501" s="35"/>
      <c r="E501" s="35"/>
      <c r="F501" s="29"/>
      <c r="G501" s="19"/>
      <c r="H501" s="41"/>
      <c r="I501" s="25"/>
      <c r="J501" s="25"/>
      <c r="K501" s="41"/>
      <c r="L501" s="35"/>
      <c r="M501" s="35"/>
      <c r="N501" s="35"/>
      <c r="O501" s="26"/>
      <c r="P501" s="23"/>
      <c r="Q501" s="24"/>
      <c r="R501" s="29"/>
      <c r="S501" s="29"/>
      <c r="T501" s="43"/>
      <c r="U501" s="29"/>
      <c r="V501" s="42"/>
      <c r="W501" s="29"/>
    </row>
    <row r="502" ht="15.75" customHeight="1">
      <c r="A502" s="29"/>
      <c r="B502" s="16"/>
      <c r="C502" s="29"/>
      <c r="D502" s="35"/>
      <c r="E502" s="35"/>
      <c r="F502" s="29"/>
      <c r="G502" s="19"/>
      <c r="H502" s="41"/>
      <c r="I502" s="25"/>
      <c r="J502" s="25"/>
      <c r="K502" s="41"/>
      <c r="L502" s="35"/>
      <c r="M502" s="35"/>
      <c r="N502" s="35"/>
      <c r="O502" s="26"/>
      <c r="P502" s="23"/>
      <c r="Q502" s="24"/>
      <c r="R502" s="29"/>
      <c r="S502" s="29"/>
      <c r="T502" s="43"/>
      <c r="U502" s="29"/>
      <c r="V502" s="42"/>
      <c r="W502" s="29"/>
    </row>
    <row r="503" ht="15.75" customHeight="1">
      <c r="A503" s="29"/>
      <c r="B503" s="16"/>
      <c r="C503" s="29"/>
      <c r="D503" s="35"/>
      <c r="E503" s="35"/>
      <c r="F503" s="29"/>
      <c r="G503" s="19"/>
      <c r="H503" s="41"/>
      <c r="I503" s="25"/>
      <c r="J503" s="25"/>
      <c r="K503" s="41"/>
      <c r="L503" s="35"/>
      <c r="M503" s="35"/>
      <c r="N503" s="35"/>
      <c r="O503" s="26"/>
      <c r="P503" s="23"/>
      <c r="Q503" s="24"/>
      <c r="R503" s="29"/>
      <c r="S503" s="29"/>
      <c r="T503" s="43"/>
      <c r="U503" s="29"/>
      <c r="V503" s="42"/>
      <c r="W503" s="29"/>
    </row>
    <row r="504" ht="15.75" customHeight="1">
      <c r="A504" s="29"/>
      <c r="B504" s="16"/>
      <c r="C504" s="29"/>
      <c r="D504" s="35"/>
      <c r="E504" s="35"/>
      <c r="F504" s="29"/>
      <c r="G504" s="19"/>
      <c r="H504" s="41"/>
      <c r="I504" s="25"/>
      <c r="J504" s="25"/>
      <c r="K504" s="41"/>
      <c r="L504" s="35"/>
      <c r="M504" s="35"/>
      <c r="N504" s="35"/>
      <c r="O504" s="26"/>
      <c r="P504" s="23"/>
      <c r="Q504" s="24"/>
      <c r="R504" s="29"/>
      <c r="S504" s="29"/>
      <c r="T504" s="43"/>
      <c r="U504" s="29"/>
      <c r="V504" s="42"/>
      <c r="W504" s="29"/>
    </row>
    <row r="505" ht="15.75" customHeight="1">
      <c r="A505" s="29"/>
      <c r="B505" s="16"/>
      <c r="C505" s="29"/>
      <c r="D505" s="35"/>
      <c r="E505" s="35"/>
      <c r="F505" s="29"/>
      <c r="G505" s="19"/>
      <c r="H505" s="41"/>
      <c r="I505" s="25"/>
      <c r="J505" s="25"/>
      <c r="K505" s="41"/>
      <c r="L505" s="35"/>
      <c r="M505" s="35"/>
      <c r="N505" s="35"/>
      <c r="O505" s="26"/>
      <c r="P505" s="23"/>
      <c r="Q505" s="24"/>
      <c r="R505" s="29"/>
      <c r="S505" s="29"/>
      <c r="T505" s="43"/>
      <c r="U505" s="29"/>
      <c r="V505" s="42"/>
      <c r="W505" s="29"/>
    </row>
    <row r="506" ht="15.75" customHeight="1">
      <c r="A506" s="29"/>
      <c r="B506" s="16"/>
      <c r="C506" s="29"/>
      <c r="D506" s="35"/>
      <c r="E506" s="35"/>
      <c r="F506" s="29"/>
      <c r="G506" s="19"/>
      <c r="H506" s="41"/>
      <c r="I506" s="25"/>
      <c r="J506" s="25"/>
      <c r="K506" s="41"/>
      <c r="L506" s="35"/>
      <c r="M506" s="35"/>
      <c r="N506" s="35"/>
      <c r="O506" s="26"/>
      <c r="P506" s="23"/>
      <c r="Q506" s="24"/>
      <c r="R506" s="29"/>
      <c r="S506" s="29"/>
      <c r="T506" s="43"/>
      <c r="U506" s="29"/>
      <c r="V506" s="42"/>
      <c r="W506" s="29"/>
    </row>
    <row r="507" ht="15.75" customHeight="1">
      <c r="A507" s="29"/>
      <c r="B507" s="16"/>
      <c r="C507" s="29"/>
      <c r="D507" s="35"/>
      <c r="E507" s="35"/>
      <c r="F507" s="29"/>
      <c r="G507" s="19"/>
      <c r="H507" s="41"/>
      <c r="I507" s="25"/>
      <c r="J507" s="25"/>
      <c r="K507" s="41"/>
      <c r="L507" s="35"/>
      <c r="M507" s="35"/>
      <c r="N507" s="35"/>
      <c r="O507" s="26"/>
      <c r="P507" s="23"/>
      <c r="Q507" s="24"/>
      <c r="R507" s="29"/>
      <c r="S507" s="29"/>
      <c r="T507" s="43"/>
      <c r="U507" s="29"/>
      <c r="V507" s="42"/>
      <c r="W507" s="29"/>
    </row>
    <row r="508" ht="15.75" customHeight="1">
      <c r="A508" s="29"/>
      <c r="B508" s="16"/>
      <c r="C508" s="29"/>
      <c r="D508" s="35"/>
      <c r="E508" s="35"/>
      <c r="F508" s="29"/>
      <c r="G508" s="19"/>
      <c r="H508" s="41"/>
      <c r="I508" s="25"/>
      <c r="J508" s="25"/>
      <c r="K508" s="41"/>
      <c r="L508" s="35"/>
      <c r="M508" s="35"/>
      <c r="N508" s="35"/>
      <c r="O508" s="26"/>
      <c r="P508" s="23"/>
      <c r="Q508" s="24"/>
      <c r="R508" s="29"/>
      <c r="S508" s="29"/>
      <c r="T508" s="43"/>
      <c r="U508" s="29"/>
      <c r="V508" s="42"/>
      <c r="W508" s="29"/>
    </row>
    <row r="509" ht="15.75" customHeight="1">
      <c r="A509" s="29"/>
      <c r="B509" s="16"/>
      <c r="C509" s="29"/>
      <c r="D509" s="35"/>
      <c r="E509" s="35"/>
      <c r="F509" s="29"/>
      <c r="G509" s="19"/>
      <c r="H509" s="41"/>
      <c r="I509" s="25"/>
      <c r="J509" s="25"/>
      <c r="K509" s="41"/>
      <c r="L509" s="35"/>
      <c r="M509" s="35"/>
      <c r="N509" s="35"/>
      <c r="O509" s="26"/>
      <c r="P509" s="23"/>
      <c r="Q509" s="24"/>
      <c r="R509" s="29"/>
      <c r="S509" s="29"/>
      <c r="T509" s="43"/>
      <c r="U509" s="29"/>
      <c r="V509" s="42"/>
      <c r="W509" s="29"/>
    </row>
    <row r="510" ht="15.75" customHeight="1">
      <c r="A510" s="29"/>
      <c r="B510" s="16"/>
      <c r="C510" s="29"/>
      <c r="D510" s="35"/>
      <c r="E510" s="35"/>
      <c r="F510" s="29"/>
      <c r="G510" s="19"/>
      <c r="H510" s="41"/>
      <c r="I510" s="25"/>
      <c r="J510" s="25"/>
      <c r="K510" s="41"/>
      <c r="L510" s="35"/>
      <c r="M510" s="35"/>
      <c r="N510" s="35"/>
      <c r="O510" s="26"/>
      <c r="P510" s="23"/>
      <c r="Q510" s="24"/>
      <c r="R510" s="29"/>
      <c r="S510" s="29"/>
      <c r="T510" s="43"/>
      <c r="U510" s="29"/>
      <c r="V510" s="42"/>
      <c r="W510" s="29"/>
    </row>
    <row r="511" ht="15.75" customHeight="1">
      <c r="A511" s="29"/>
      <c r="B511" s="16"/>
      <c r="C511" s="29"/>
      <c r="D511" s="35"/>
      <c r="E511" s="35"/>
      <c r="F511" s="29"/>
      <c r="G511" s="19"/>
      <c r="H511" s="41"/>
      <c r="I511" s="25"/>
      <c r="J511" s="25"/>
      <c r="K511" s="41"/>
      <c r="L511" s="35"/>
      <c r="M511" s="35"/>
      <c r="N511" s="35"/>
      <c r="O511" s="26"/>
      <c r="P511" s="23"/>
      <c r="Q511" s="24"/>
      <c r="R511" s="29"/>
      <c r="S511" s="29"/>
      <c r="T511" s="43"/>
      <c r="U511" s="29"/>
      <c r="V511" s="42"/>
      <c r="W511" s="29"/>
    </row>
    <row r="512" ht="15.75" customHeight="1">
      <c r="A512" s="29"/>
      <c r="B512" s="16"/>
      <c r="C512" s="29"/>
      <c r="D512" s="35"/>
      <c r="E512" s="35"/>
      <c r="F512" s="29"/>
      <c r="G512" s="19"/>
      <c r="H512" s="41"/>
      <c r="I512" s="25"/>
      <c r="J512" s="25"/>
      <c r="K512" s="41"/>
      <c r="L512" s="35"/>
      <c r="M512" s="35"/>
      <c r="N512" s="35"/>
      <c r="O512" s="26"/>
      <c r="P512" s="23"/>
      <c r="Q512" s="24"/>
      <c r="R512" s="29"/>
      <c r="S512" s="29"/>
      <c r="T512" s="43"/>
      <c r="U512" s="29"/>
      <c r="V512" s="42"/>
      <c r="W512" s="29"/>
    </row>
    <row r="513" ht="15.75" customHeight="1">
      <c r="A513" s="29"/>
      <c r="B513" s="16"/>
      <c r="C513" s="29"/>
      <c r="D513" s="35"/>
      <c r="E513" s="35"/>
      <c r="F513" s="29"/>
      <c r="G513" s="19"/>
      <c r="H513" s="41"/>
      <c r="I513" s="25"/>
      <c r="J513" s="25"/>
      <c r="K513" s="41"/>
      <c r="L513" s="35"/>
      <c r="M513" s="35"/>
      <c r="N513" s="35"/>
      <c r="O513" s="26"/>
      <c r="P513" s="23"/>
      <c r="Q513" s="24"/>
      <c r="R513" s="29"/>
      <c r="S513" s="29"/>
      <c r="T513" s="43"/>
      <c r="U513" s="29"/>
      <c r="V513" s="42"/>
      <c r="W513" s="29"/>
    </row>
    <row r="514" ht="15.75" customHeight="1">
      <c r="A514" s="29"/>
      <c r="B514" s="16"/>
      <c r="C514" s="29"/>
      <c r="D514" s="35"/>
      <c r="E514" s="35"/>
      <c r="F514" s="29"/>
      <c r="G514" s="19"/>
      <c r="H514" s="41"/>
      <c r="I514" s="25"/>
      <c r="J514" s="25"/>
      <c r="K514" s="41"/>
      <c r="L514" s="35"/>
      <c r="M514" s="35"/>
      <c r="N514" s="35"/>
      <c r="O514" s="26"/>
      <c r="P514" s="23"/>
      <c r="Q514" s="24"/>
      <c r="R514" s="29"/>
      <c r="S514" s="29"/>
      <c r="T514" s="43"/>
      <c r="U514" s="29"/>
      <c r="V514" s="42"/>
      <c r="W514" s="29"/>
    </row>
    <row r="515" ht="15.75" customHeight="1">
      <c r="A515" s="29"/>
      <c r="B515" s="16"/>
      <c r="C515" s="29"/>
      <c r="D515" s="35"/>
      <c r="E515" s="35"/>
      <c r="F515" s="29"/>
      <c r="G515" s="19"/>
      <c r="H515" s="41"/>
      <c r="I515" s="25"/>
      <c r="J515" s="25"/>
      <c r="K515" s="41"/>
      <c r="L515" s="35"/>
      <c r="M515" s="35"/>
      <c r="N515" s="35"/>
      <c r="O515" s="26"/>
      <c r="P515" s="23"/>
      <c r="Q515" s="24"/>
      <c r="R515" s="29"/>
      <c r="S515" s="29"/>
      <c r="T515" s="43"/>
      <c r="U515" s="29"/>
      <c r="V515" s="42"/>
      <c r="W515" s="29"/>
    </row>
    <row r="516" ht="15.75" customHeight="1">
      <c r="A516" s="29"/>
      <c r="B516" s="16"/>
      <c r="C516" s="29"/>
      <c r="D516" s="35"/>
      <c r="E516" s="35"/>
      <c r="F516" s="29"/>
      <c r="G516" s="19"/>
      <c r="H516" s="41"/>
      <c r="I516" s="25"/>
      <c r="J516" s="25"/>
      <c r="K516" s="41"/>
      <c r="L516" s="35"/>
      <c r="M516" s="35"/>
      <c r="N516" s="35"/>
      <c r="O516" s="26"/>
      <c r="P516" s="23"/>
      <c r="Q516" s="24"/>
      <c r="R516" s="29"/>
      <c r="S516" s="29"/>
      <c r="T516" s="43"/>
      <c r="U516" s="29"/>
      <c r="V516" s="42"/>
      <c r="W516" s="29"/>
    </row>
    <row r="517" ht="15.75" customHeight="1">
      <c r="A517" s="29"/>
      <c r="B517" s="16"/>
      <c r="C517" s="29"/>
      <c r="D517" s="35"/>
      <c r="E517" s="35"/>
      <c r="F517" s="29"/>
      <c r="G517" s="19"/>
      <c r="H517" s="41"/>
      <c r="I517" s="25"/>
      <c r="J517" s="25"/>
      <c r="K517" s="41"/>
      <c r="L517" s="35"/>
      <c r="M517" s="35"/>
      <c r="N517" s="35"/>
      <c r="O517" s="26"/>
      <c r="P517" s="23"/>
      <c r="Q517" s="24"/>
      <c r="R517" s="29"/>
      <c r="S517" s="29"/>
      <c r="T517" s="43"/>
      <c r="U517" s="29"/>
      <c r="V517" s="42"/>
      <c r="W517" s="29"/>
    </row>
    <row r="518" ht="15.75" customHeight="1">
      <c r="A518" s="29"/>
      <c r="B518" s="16"/>
      <c r="C518" s="29"/>
      <c r="D518" s="35"/>
      <c r="E518" s="35"/>
      <c r="F518" s="29"/>
      <c r="G518" s="19"/>
      <c r="H518" s="41"/>
      <c r="I518" s="25"/>
      <c r="J518" s="25"/>
      <c r="K518" s="41"/>
      <c r="L518" s="35"/>
      <c r="M518" s="35"/>
      <c r="N518" s="35"/>
      <c r="O518" s="26"/>
      <c r="P518" s="23"/>
      <c r="Q518" s="24"/>
      <c r="R518" s="29"/>
      <c r="S518" s="29"/>
      <c r="T518" s="43"/>
      <c r="U518" s="29"/>
      <c r="V518" s="42"/>
      <c r="W518" s="29"/>
    </row>
    <row r="519" ht="15.75" customHeight="1">
      <c r="A519" s="29"/>
      <c r="B519" s="16"/>
      <c r="C519" s="29"/>
      <c r="D519" s="35"/>
      <c r="E519" s="35"/>
      <c r="F519" s="29"/>
      <c r="G519" s="19"/>
      <c r="H519" s="41"/>
      <c r="I519" s="25"/>
      <c r="J519" s="25"/>
      <c r="K519" s="41"/>
      <c r="L519" s="35"/>
      <c r="M519" s="35"/>
      <c r="N519" s="35"/>
      <c r="O519" s="26"/>
      <c r="P519" s="23"/>
      <c r="Q519" s="24"/>
      <c r="R519" s="29"/>
      <c r="S519" s="29"/>
      <c r="T519" s="43"/>
      <c r="U519" s="29"/>
      <c r="V519" s="42"/>
      <c r="W519" s="29"/>
    </row>
    <row r="520" ht="15.75" customHeight="1">
      <c r="A520" s="29"/>
      <c r="B520" s="16"/>
      <c r="C520" s="29"/>
      <c r="D520" s="35"/>
      <c r="E520" s="35"/>
      <c r="F520" s="29"/>
      <c r="G520" s="19"/>
      <c r="H520" s="41"/>
      <c r="I520" s="25"/>
      <c r="J520" s="25"/>
      <c r="K520" s="41"/>
      <c r="L520" s="35"/>
      <c r="M520" s="35"/>
      <c r="N520" s="35"/>
      <c r="O520" s="26"/>
      <c r="P520" s="23"/>
      <c r="Q520" s="24"/>
      <c r="R520" s="29"/>
      <c r="S520" s="29"/>
      <c r="T520" s="43"/>
      <c r="U520" s="29"/>
      <c r="V520" s="42"/>
      <c r="W520" s="29"/>
    </row>
    <row r="521" ht="15.75" customHeight="1">
      <c r="A521" s="29"/>
      <c r="B521" s="16"/>
      <c r="C521" s="29"/>
      <c r="D521" s="35"/>
      <c r="E521" s="35"/>
      <c r="F521" s="29"/>
      <c r="G521" s="19"/>
      <c r="H521" s="41"/>
      <c r="I521" s="25"/>
      <c r="J521" s="25"/>
      <c r="K521" s="41"/>
      <c r="L521" s="35"/>
      <c r="M521" s="35"/>
      <c r="N521" s="35"/>
      <c r="O521" s="26"/>
      <c r="P521" s="23"/>
      <c r="Q521" s="24"/>
      <c r="R521" s="29"/>
      <c r="S521" s="29"/>
      <c r="T521" s="43"/>
      <c r="U521" s="29"/>
      <c r="V521" s="42"/>
      <c r="W521" s="29"/>
    </row>
    <row r="522" ht="15.75" customHeight="1">
      <c r="A522" s="29"/>
      <c r="B522" s="16"/>
      <c r="C522" s="29"/>
      <c r="D522" s="35"/>
      <c r="E522" s="35"/>
      <c r="F522" s="29"/>
      <c r="G522" s="19"/>
      <c r="H522" s="41"/>
      <c r="I522" s="25"/>
      <c r="J522" s="25"/>
      <c r="K522" s="41"/>
      <c r="L522" s="35"/>
      <c r="M522" s="35"/>
      <c r="N522" s="35"/>
      <c r="O522" s="26"/>
      <c r="P522" s="23"/>
      <c r="Q522" s="24"/>
      <c r="R522" s="29"/>
      <c r="S522" s="29"/>
      <c r="T522" s="43"/>
      <c r="U522" s="29"/>
      <c r="V522" s="42"/>
      <c r="W522" s="29"/>
    </row>
    <row r="523" ht="15.75" customHeight="1">
      <c r="A523" s="29"/>
      <c r="B523" s="16"/>
      <c r="C523" s="29"/>
      <c r="D523" s="35"/>
      <c r="E523" s="35"/>
      <c r="F523" s="29"/>
      <c r="G523" s="19"/>
      <c r="H523" s="41"/>
      <c r="I523" s="25"/>
      <c r="J523" s="25"/>
      <c r="K523" s="41"/>
      <c r="L523" s="35"/>
      <c r="M523" s="35"/>
      <c r="N523" s="35"/>
      <c r="O523" s="26"/>
      <c r="P523" s="23"/>
      <c r="Q523" s="24"/>
      <c r="R523" s="29"/>
      <c r="S523" s="29"/>
      <c r="T523" s="43"/>
      <c r="U523" s="29"/>
      <c r="V523" s="42"/>
      <c r="W523" s="29"/>
    </row>
    <row r="524" ht="15.75" customHeight="1">
      <c r="A524" s="29"/>
      <c r="B524" s="16"/>
      <c r="C524" s="29"/>
      <c r="D524" s="35"/>
      <c r="E524" s="35"/>
      <c r="F524" s="29"/>
      <c r="G524" s="19"/>
      <c r="H524" s="41"/>
      <c r="I524" s="25"/>
      <c r="J524" s="25"/>
      <c r="K524" s="41"/>
      <c r="L524" s="35"/>
      <c r="M524" s="35"/>
      <c r="N524" s="35"/>
      <c r="O524" s="26"/>
      <c r="P524" s="23"/>
      <c r="Q524" s="24"/>
      <c r="R524" s="29"/>
      <c r="S524" s="29"/>
      <c r="T524" s="43"/>
      <c r="U524" s="29"/>
      <c r="V524" s="42"/>
      <c r="W524" s="29"/>
    </row>
    <row r="525" ht="15.75" customHeight="1">
      <c r="A525" s="29"/>
      <c r="B525" s="16"/>
      <c r="C525" s="29"/>
      <c r="D525" s="35"/>
      <c r="E525" s="35"/>
      <c r="F525" s="29"/>
      <c r="G525" s="19"/>
      <c r="H525" s="41"/>
      <c r="I525" s="25"/>
      <c r="J525" s="25"/>
      <c r="K525" s="41"/>
      <c r="L525" s="35"/>
      <c r="M525" s="35"/>
      <c r="N525" s="35"/>
      <c r="O525" s="26"/>
      <c r="P525" s="23"/>
      <c r="Q525" s="24"/>
      <c r="R525" s="29"/>
      <c r="S525" s="29"/>
      <c r="T525" s="43"/>
      <c r="U525" s="29"/>
      <c r="V525" s="42"/>
      <c r="W525" s="29"/>
    </row>
    <row r="526" ht="15.75" customHeight="1">
      <c r="A526" s="29"/>
      <c r="B526" s="16"/>
      <c r="C526" s="29"/>
      <c r="D526" s="35"/>
      <c r="E526" s="35"/>
      <c r="F526" s="29"/>
      <c r="G526" s="19"/>
      <c r="H526" s="41"/>
      <c r="I526" s="25"/>
      <c r="J526" s="25"/>
      <c r="K526" s="41"/>
      <c r="L526" s="35"/>
      <c r="M526" s="35"/>
      <c r="N526" s="35"/>
      <c r="O526" s="26"/>
      <c r="P526" s="23"/>
      <c r="Q526" s="24"/>
      <c r="R526" s="29"/>
      <c r="S526" s="29"/>
      <c r="T526" s="43"/>
      <c r="U526" s="29"/>
      <c r="V526" s="42"/>
      <c r="W526" s="29"/>
    </row>
    <row r="527" ht="15.75" customHeight="1">
      <c r="A527" s="29"/>
      <c r="B527" s="16"/>
      <c r="C527" s="29"/>
      <c r="D527" s="35"/>
      <c r="E527" s="35"/>
      <c r="F527" s="29"/>
      <c r="G527" s="19"/>
      <c r="H527" s="41"/>
      <c r="I527" s="25"/>
      <c r="J527" s="25"/>
      <c r="K527" s="41"/>
      <c r="L527" s="35"/>
      <c r="M527" s="35"/>
      <c r="N527" s="35"/>
      <c r="O527" s="26"/>
      <c r="P527" s="23"/>
      <c r="Q527" s="24"/>
      <c r="R527" s="29"/>
      <c r="S527" s="29"/>
      <c r="T527" s="43"/>
      <c r="U527" s="29"/>
      <c r="V527" s="42"/>
      <c r="W527" s="29"/>
    </row>
    <row r="528" ht="15.75" customHeight="1">
      <c r="A528" s="29"/>
      <c r="B528" s="16"/>
      <c r="C528" s="29"/>
      <c r="D528" s="35"/>
      <c r="E528" s="35"/>
      <c r="F528" s="29"/>
      <c r="G528" s="19"/>
      <c r="H528" s="41"/>
      <c r="I528" s="25"/>
      <c r="J528" s="25"/>
      <c r="K528" s="41"/>
      <c r="L528" s="35"/>
      <c r="M528" s="35"/>
      <c r="N528" s="35"/>
      <c r="O528" s="26"/>
      <c r="P528" s="23"/>
      <c r="Q528" s="24"/>
      <c r="R528" s="29"/>
      <c r="S528" s="29"/>
      <c r="T528" s="43"/>
      <c r="U528" s="29"/>
      <c r="V528" s="42"/>
      <c r="W528" s="29"/>
    </row>
    <row r="529" ht="15.75" customHeight="1">
      <c r="A529" s="29"/>
      <c r="B529" s="16"/>
      <c r="C529" s="29"/>
      <c r="D529" s="35"/>
      <c r="E529" s="35"/>
      <c r="F529" s="29"/>
      <c r="G529" s="19"/>
      <c r="H529" s="41"/>
      <c r="I529" s="25"/>
      <c r="J529" s="25"/>
      <c r="K529" s="41"/>
      <c r="L529" s="35"/>
      <c r="M529" s="35"/>
      <c r="N529" s="35"/>
      <c r="O529" s="26"/>
      <c r="P529" s="23"/>
      <c r="Q529" s="24"/>
      <c r="R529" s="29"/>
      <c r="S529" s="29"/>
      <c r="T529" s="43"/>
      <c r="U529" s="29"/>
      <c r="V529" s="42"/>
      <c r="W529" s="29"/>
    </row>
    <row r="530" ht="15.75" customHeight="1">
      <c r="A530" s="29"/>
      <c r="B530" s="16"/>
      <c r="C530" s="29"/>
      <c r="D530" s="35"/>
      <c r="E530" s="35"/>
      <c r="F530" s="29"/>
      <c r="G530" s="19"/>
      <c r="H530" s="41"/>
      <c r="I530" s="25"/>
      <c r="J530" s="25"/>
      <c r="K530" s="41"/>
      <c r="L530" s="35"/>
      <c r="M530" s="35"/>
      <c r="N530" s="35"/>
      <c r="O530" s="26"/>
      <c r="P530" s="23"/>
      <c r="Q530" s="24"/>
      <c r="R530" s="29"/>
      <c r="S530" s="29"/>
      <c r="T530" s="43"/>
      <c r="U530" s="29"/>
      <c r="V530" s="42"/>
      <c r="W530" s="29"/>
    </row>
    <row r="531" ht="15.75" customHeight="1">
      <c r="A531" s="29"/>
      <c r="B531" s="16"/>
      <c r="C531" s="29"/>
      <c r="D531" s="35"/>
      <c r="E531" s="35"/>
      <c r="F531" s="29"/>
      <c r="G531" s="19"/>
      <c r="H531" s="41"/>
      <c r="I531" s="25"/>
      <c r="J531" s="25"/>
      <c r="K531" s="41"/>
      <c r="L531" s="35"/>
      <c r="M531" s="35"/>
      <c r="N531" s="35"/>
      <c r="O531" s="26"/>
      <c r="P531" s="23"/>
      <c r="Q531" s="24"/>
      <c r="R531" s="29"/>
      <c r="S531" s="29"/>
      <c r="T531" s="43"/>
      <c r="U531" s="29"/>
      <c r="V531" s="42"/>
      <c r="W531" s="29"/>
    </row>
    <row r="532" ht="15.75" customHeight="1">
      <c r="A532" s="29"/>
      <c r="B532" s="16"/>
      <c r="C532" s="29"/>
      <c r="D532" s="35"/>
      <c r="E532" s="35"/>
      <c r="F532" s="29"/>
      <c r="G532" s="19"/>
      <c r="H532" s="41"/>
      <c r="I532" s="25"/>
      <c r="J532" s="25"/>
      <c r="K532" s="41"/>
      <c r="L532" s="35"/>
      <c r="M532" s="35"/>
      <c r="N532" s="35"/>
      <c r="O532" s="26"/>
      <c r="P532" s="23"/>
      <c r="Q532" s="24"/>
      <c r="R532" s="29"/>
      <c r="S532" s="29"/>
      <c r="T532" s="43"/>
      <c r="U532" s="29"/>
      <c r="V532" s="42"/>
      <c r="W532" s="29"/>
    </row>
    <row r="533" ht="15.75" customHeight="1">
      <c r="A533" s="29"/>
      <c r="B533" s="16"/>
      <c r="C533" s="29"/>
      <c r="D533" s="35"/>
      <c r="E533" s="35"/>
      <c r="F533" s="29"/>
      <c r="G533" s="19"/>
      <c r="H533" s="41"/>
      <c r="I533" s="25"/>
      <c r="J533" s="25"/>
      <c r="K533" s="41"/>
      <c r="L533" s="35"/>
      <c r="M533" s="35"/>
      <c r="N533" s="35"/>
      <c r="O533" s="26"/>
      <c r="P533" s="23"/>
      <c r="Q533" s="24"/>
      <c r="R533" s="29"/>
      <c r="S533" s="29"/>
      <c r="T533" s="43"/>
      <c r="U533" s="29"/>
      <c r="V533" s="42"/>
      <c r="W533" s="29"/>
    </row>
    <row r="534" ht="15.75" customHeight="1">
      <c r="A534" s="29"/>
      <c r="B534" s="16"/>
      <c r="C534" s="29"/>
      <c r="D534" s="35"/>
      <c r="E534" s="35"/>
      <c r="F534" s="29"/>
      <c r="G534" s="19"/>
      <c r="H534" s="41"/>
      <c r="I534" s="25"/>
      <c r="J534" s="25"/>
      <c r="K534" s="41"/>
      <c r="L534" s="35"/>
      <c r="M534" s="35"/>
      <c r="N534" s="35"/>
      <c r="O534" s="26"/>
      <c r="P534" s="23"/>
      <c r="Q534" s="24"/>
      <c r="R534" s="29"/>
      <c r="S534" s="29"/>
      <c r="T534" s="43"/>
      <c r="U534" s="29"/>
      <c r="V534" s="42"/>
      <c r="W534" s="29"/>
    </row>
    <row r="535" ht="15.75" customHeight="1">
      <c r="A535" s="29"/>
      <c r="B535" s="16"/>
      <c r="C535" s="29"/>
      <c r="D535" s="35"/>
      <c r="E535" s="35"/>
      <c r="F535" s="29"/>
      <c r="G535" s="19"/>
      <c r="H535" s="41"/>
      <c r="I535" s="25"/>
      <c r="J535" s="25"/>
      <c r="K535" s="41"/>
      <c r="L535" s="35"/>
      <c r="M535" s="35"/>
      <c r="N535" s="35"/>
      <c r="O535" s="26"/>
      <c r="P535" s="23"/>
      <c r="Q535" s="24"/>
      <c r="R535" s="29"/>
      <c r="S535" s="29"/>
      <c r="T535" s="43"/>
      <c r="U535" s="29"/>
      <c r="V535" s="42"/>
      <c r="W535" s="29"/>
    </row>
    <row r="536" ht="15.75" customHeight="1">
      <c r="A536" s="29"/>
      <c r="B536" s="16"/>
      <c r="C536" s="29"/>
      <c r="D536" s="35"/>
      <c r="E536" s="35"/>
      <c r="F536" s="29"/>
      <c r="G536" s="19"/>
      <c r="H536" s="41"/>
      <c r="I536" s="25"/>
      <c r="J536" s="25"/>
      <c r="K536" s="41"/>
      <c r="L536" s="35"/>
      <c r="M536" s="35"/>
      <c r="N536" s="35"/>
      <c r="O536" s="26"/>
      <c r="P536" s="23"/>
      <c r="Q536" s="24"/>
      <c r="R536" s="29"/>
      <c r="S536" s="29"/>
      <c r="T536" s="43"/>
      <c r="U536" s="29"/>
      <c r="V536" s="42"/>
      <c r="W536" s="29"/>
    </row>
    <row r="537" ht="15.75" customHeight="1">
      <c r="A537" s="29"/>
      <c r="B537" s="16"/>
      <c r="C537" s="29"/>
      <c r="D537" s="35"/>
      <c r="E537" s="35"/>
      <c r="F537" s="29"/>
      <c r="G537" s="19"/>
      <c r="H537" s="41"/>
      <c r="I537" s="25"/>
      <c r="J537" s="25"/>
      <c r="K537" s="41"/>
      <c r="L537" s="35"/>
      <c r="M537" s="35"/>
      <c r="N537" s="35"/>
      <c r="O537" s="26"/>
      <c r="P537" s="23"/>
      <c r="Q537" s="24"/>
      <c r="R537" s="29"/>
      <c r="S537" s="29"/>
      <c r="T537" s="43"/>
      <c r="U537" s="29"/>
      <c r="V537" s="42"/>
      <c r="W537" s="29"/>
    </row>
    <row r="538" ht="15.75" customHeight="1">
      <c r="A538" s="29"/>
      <c r="B538" s="16"/>
      <c r="C538" s="29"/>
      <c r="D538" s="35"/>
      <c r="E538" s="35"/>
      <c r="F538" s="29"/>
      <c r="G538" s="19"/>
      <c r="H538" s="41"/>
      <c r="I538" s="25"/>
      <c r="J538" s="25"/>
      <c r="K538" s="41"/>
      <c r="L538" s="35"/>
      <c r="M538" s="35"/>
      <c r="N538" s="35"/>
      <c r="O538" s="26"/>
      <c r="P538" s="23"/>
      <c r="Q538" s="24"/>
      <c r="R538" s="29"/>
      <c r="S538" s="29"/>
      <c r="T538" s="43"/>
      <c r="U538" s="29"/>
      <c r="V538" s="42"/>
      <c r="W538" s="29"/>
    </row>
    <row r="539" ht="15.75" customHeight="1">
      <c r="A539" s="29"/>
      <c r="B539" s="16"/>
      <c r="C539" s="29"/>
      <c r="D539" s="35"/>
      <c r="E539" s="35"/>
      <c r="F539" s="29"/>
      <c r="G539" s="19"/>
      <c r="H539" s="41"/>
      <c r="I539" s="25"/>
      <c r="J539" s="25"/>
      <c r="K539" s="41"/>
      <c r="L539" s="35"/>
      <c r="M539" s="35"/>
      <c r="N539" s="35"/>
      <c r="O539" s="26"/>
      <c r="P539" s="23"/>
      <c r="Q539" s="24"/>
      <c r="R539" s="29"/>
      <c r="S539" s="29"/>
      <c r="T539" s="43"/>
      <c r="U539" s="29"/>
      <c r="V539" s="42"/>
      <c r="W539" s="29"/>
    </row>
    <row r="540" ht="15.75" customHeight="1">
      <c r="A540" s="29"/>
      <c r="B540" s="16"/>
      <c r="C540" s="29"/>
      <c r="D540" s="35"/>
      <c r="E540" s="35"/>
      <c r="F540" s="29"/>
      <c r="G540" s="19"/>
      <c r="H540" s="41"/>
      <c r="I540" s="25"/>
      <c r="J540" s="25"/>
      <c r="K540" s="41"/>
      <c r="L540" s="35"/>
      <c r="M540" s="35"/>
      <c r="N540" s="35"/>
      <c r="O540" s="26"/>
      <c r="P540" s="23"/>
      <c r="Q540" s="24"/>
      <c r="R540" s="29"/>
      <c r="S540" s="29"/>
      <c r="T540" s="43"/>
      <c r="U540" s="29"/>
      <c r="V540" s="42"/>
      <c r="W540" s="29"/>
    </row>
    <row r="541" ht="15.75" customHeight="1">
      <c r="A541" s="29"/>
      <c r="B541" s="16"/>
      <c r="C541" s="29"/>
      <c r="D541" s="35"/>
      <c r="E541" s="35"/>
      <c r="F541" s="29"/>
      <c r="G541" s="19"/>
      <c r="H541" s="41"/>
      <c r="I541" s="25"/>
      <c r="J541" s="25"/>
      <c r="K541" s="41"/>
      <c r="L541" s="35"/>
      <c r="M541" s="35"/>
      <c r="N541" s="35"/>
      <c r="O541" s="26"/>
      <c r="P541" s="23"/>
      <c r="Q541" s="24"/>
      <c r="R541" s="29"/>
      <c r="S541" s="29"/>
      <c r="T541" s="43"/>
      <c r="U541" s="29"/>
      <c r="V541" s="42"/>
      <c r="W541" s="29"/>
    </row>
    <row r="542" ht="15.75" customHeight="1">
      <c r="A542" s="29"/>
      <c r="B542" s="16"/>
      <c r="C542" s="29"/>
      <c r="D542" s="35"/>
      <c r="E542" s="35"/>
      <c r="F542" s="29"/>
      <c r="G542" s="19"/>
      <c r="H542" s="41"/>
      <c r="I542" s="25"/>
      <c r="J542" s="25"/>
      <c r="K542" s="41"/>
      <c r="L542" s="35"/>
      <c r="M542" s="35"/>
      <c r="N542" s="35"/>
      <c r="O542" s="26"/>
      <c r="P542" s="23"/>
      <c r="Q542" s="24"/>
      <c r="R542" s="29"/>
      <c r="S542" s="29"/>
      <c r="T542" s="43"/>
      <c r="U542" s="29"/>
      <c r="V542" s="42"/>
      <c r="W542" s="29"/>
    </row>
    <row r="543" ht="15.75" customHeight="1">
      <c r="A543" s="29"/>
      <c r="B543" s="16"/>
      <c r="C543" s="29"/>
      <c r="D543" s="35"/>
      <c r="E543" s="35"/>
      <c r="F543" s="29"/>
      <c r="G543" s="19"/>
      <c r="H543" s="41"/>
      <c r="I543" s="25"/>
      <c r="J543" s="25"/>
      <c r="K543" s="41"/>
      <c r="L543" s="35"/>
      <c r="M543" s="35"/>
      <c r="N543" s="35"/>
      <c r="O543" s="26"/>
      <c r="P543" s="23"/>
      <c r="Q543" s="24"/>
      <c r="R543" s="29"/>
      <c r="S543" s="29"/>
      <c r="T543" s="43"/>
      <c r="U543" s="29"/>
      <c r="V543" s="42"/>
      <c r="W543" s="29"/>
    </row>
    <row r="544" ht="15.75" customHeight="1">
      <c r="A544" s="29"/>
      <c r="B544" s="16"/>
      <c r="C544" s="29"/>
      <c r="D544" s="35"/>
      <c r="E544" s="35"/>
      <c r="F544" s="29"/>
      <c r="G544" s="19"/>
      <c r="H544" s="41"/>
      <c r="I544" s="25"/>
      <c r="J544" s="25"/>
      <c r="K544" s="41"/>
      <c r="L544" s="35"/>
      <c r="M544" s="35"/>
      <c r="N544" s="35"/>
      <c r="O544" s="26"/>
      <c r="P544" s="23"/>
      <c r="Q544" s="24"/>
      <c r="R544" s="29"/>
      <c r="S544" s="29"/>
      <c r="T544" s="43"/>
      <c r="U544" s="29"/>
      <c r="V544" s="42"/>
      <c r="W544" s="29"/>
    </row>
    <row r="545" ht="15.75" customHeight="1">
      <c r="A545" s="29"/>
      <c r="B545" s="16"/>
      <c r="C545" s="29"/>
      <c r="D545" s="35"/>
      <c r="E545" s="35"/>
      <c r="F545" s="29"/>
      <c r="G545" s="19"/>
      <c r="H545" s="41"/>
      <c r="I545" s="25"/>
      <c r="J545" s="25"/>
      <c r="K545" s="41"/>
      <c r="L545" s="35"/>
      <c r="M545" s="35"/>
      <c r="N545" s="35"/>
      <c r="O545" s="26"/>
      <c r="P545" s="23"/>
      <c r="Q545" s="24"/>
      <c r="R545" s="29"/>
      <c r="S545" s="29"/>
      <c r="T545" s="43"/>
      <c r="U545" s="29"/>
      <c r="V545" s="42"/>
      <c r="W545" s="29"/>
    </row>
    <row r="546" ht="15.75" customHeight="1">
      <c r="A546" s="29"/>
      <c r="B546" s="16"/>
      <c r="C546" s="29"/>
      <c r="D546" s="35"/>
      <c r="E546" s="35"/>
      <c r="F546" s="29"/>
      <c r="G546" s="19"/>
      <c r="H546" s="41"/>
      <c r="I546" s="25"/>
      <c r="J546" s="25"/>
      <c r="K546" s="41"/>
      <c r="L546" s="35"/>
      <c r="M546" s="35"/>
      <c r="N546" s="35"/>
      <c r="O546" s="26"/>
      <c r="P546" s="23"/>
      <c r="Q546" s="24"/>
      <c r="R546" s="29"/>
      <c r="S546" s="29"/>
      <c r="T546" s="43"/>
      <c r="U546" s="29"/>
      <c r="V546" s="42"/>
      <c r="W546" s="29"/>
    </row>
    <row r="547" ht="15.75" customHeight="1">
      <c r="A547" s="29"/>
      <c r="B547" s="16"/>
      <c r="C547" s="29"/>
      <c r="D547" s="35"/>
      <c r="E547" s="35"/>
      <c r="F547" s="29"/>
      <c r="G547" s="19"/>
      <c r="H547" s="41"/>
      <c r="I547" s="25"/>
      <c r="J547" s="25"/>
      <c r="K547" s="41"/>
      <c r="L547" s="35"/>
      <c r="M547" s="35"/>
      <c r="N547" s="35"/>
      <c r="O547" s="26"/>
      <c r="P547" s="23"/>
      <c r="Q547" s="24"/>
      <c r="R547" s="29"/>
      <c r="S547" s="29"/>
      <c r="T547" s="43"/>
      <c r="U547" s="29"/>
      <c r="V547" s="42"/>
      <c r="W547" s="29"/>
    </row>
    <row r="548" ht="15.75" customHeight="1">
      <c r="A548" s="29"/>
      <c r="B548" s="16"/>
      <c r="C548" s="29"/>
      <c r="D548" s="35"/>
      <c r="E548" s="35"/>
      <c r="F548" s="29"/>
      <c r="G548" s="19"/>
      <c r="H548" s="41"/>
      <c r="I548" s="25"/>
      <c r="J548" s="25"/>
      <c r="K548" s="41"/>
      <c r="L548" s="35"/>
      <c r="M548" s="35"/>
      <c r="N548" s="35"/>
      <c r="O548" s="26"/>
      <c r="P548" s="23"/>
      <c r="Q548" s="24"/>
      <c r="R548" s="29"/>
      <c r="S548" s="29"/>
      <c r="T548" s="43"/>
      <c r="U548" s="29"/>
      <c r="V548" s="42"/>
      <c r="W548" s="29"/>
    </row>
    <row r="549" ht="15.75" customHeight="1">
      <c r="A549" s="29"/>
      <c r="B549" s="16"/>
      <c r="C549" s="29"/>
      <c r="D549" s="35"/>
      <c r="E549" s="35"/>
      <c r="F549" s="29"/>
      <c r="G549" s="19"/>
      <c r="H549" s="41"/>
      <c r="I549" s="25"/>
      <c r="J549" s="25"/>
      <c r="K549" s="41"/>
      <c r="L549" s="35"/>
      <c r="M549" s="35"/>
      <c r="N549" s="35"/>
      <c r="O549" s="26"/>
      <c r="P549" s="23"/>
      <c r="Q549" s="24"/>
      <c r="R549" s="29"/>
      <c r="S549" s="29"/>
      <c r="T549" s="43"/>
      <c r="U549" s="29"/>
      <c r="V549" s="42"/>
      <c r="W549" s="29"/>
    </row>
    <row r="550" ht="15.75" customHeight="1">
      <c r="A550" s="29"/>
      <c r="B550" s="16"/>
      <c r="C550" s="29"/>
      <c r="D550" s="35"/>
      <c r="E550" s="35"/>
      <c r="F550" s="29"/>
      <c r="G550" s="19"/>
      <c r="H550" s="41"/>
      <c r="I550" s="25"/>
      <c r="J550" s="25"/>
      <c r="K550" s="41"/>
      <c r="L550" s="35"/>
      <c r="M550" s="35"/>
      <c r="N550" s="35"/>
      <c r="O550" s="26"/>
      <c r="P550" s="23"/>
      <c r="Q550" s="24"/>
      <c r="R550" s="29"/>
      <c r="S550" s="29"/>
      <c r="T550" s="43"/>
      <c r="U550" s="29"/>
      <c r="V550" s="42"/>
      <c r="W550" s="29"/>
    </row>
    <row r="551" ht="15.75" customHeight="1">
      <c r="A551" s="29"/>
      <c r="B551" s="16"/>
      <c r="C551" s="29"/>
      <c r="D551" s="35"/>
      <c r="E551" s="35"/>
      <c r="F551" s="29"/>
      <c r="G551" s="19"/>
      <c r="H551" s="41"/>
      <c r="I551" s="25"/>
      <c r="J551" s="25"/>
      <c r="K551" s="41"/>
      <c r="L551" s="35"/>
      <c r="M551" s="35"/>
      <c r="N551" s="35"/>
      <c r="O551" s="26"/>
      <c r="P551" s="23"/>
      <c r="Q551" s="24"/>
      <c r="R551" s="29"/>
      <c r="S551" s="29"/>
      <c r="T551" s="43"/>
      <c r="U551" s="29"/>
      <c r="V551" s="42"/>
      <c r="W551" s="29"/>
    </row>
    <row r="552" ht="15.75" customHeight="1">
      <c r="A552" s="29"/>
      <c r="B552" s="16"/>
      <c r="C552" s="29"/>
      <c r="D552" s="35"/>
      <c r="E552" s="35"/>
      <c r="F552" s="29"/>
      <c r="G552" s="19"/>
      <c r="H552" s="41"/>
      <c r="I552" s="25"/>
      <c r="J552" s="25"/>
      <c r="K552" s="41"/>
      <c r="L552" s="35"/>
      <c r="M552" s="35"/>
      <c r="N552" s="35"/>
      <c r="O552" s="26"/>
      <c r="P552" s="23"/>
      <c r="Q552" s="24"/>
      <c r="R552" s="29"/>
      <c r="S552" s="29"/>
      <c r="T552" s="43"/>
      <c r="U552" s="29"/>
      <c r="V552" s="42"/>
      <c r="W552" s="29"/>
    </row>
    <row r="553" ht="15.75" customHeight="1">
      <c r="A553" s="29"/>
      <c r="B553" s="16"/>
      <c r="C553" s="29"/>
      <c r="D553" s="35"/>
      <c r="E553" s="35"/>
      <c r="F553" s="29"/>
      <c r="G553" s="19"/>
      <c r="H553" s="41"/>
      <c r="I553" s="25"/>
      <c r="J553" s="25"/>
      <c r="K553" s="41"/>
      <c r="L553" s="35"/>
      <c r="M553" s="35"/>
      <c r="N553" s="35"/>
      <c r="O553" s="26"/>
      <c r="P553" s="23"/>
      <c r="Q553" s="24"/>
      <c r="R553" s="29"/>
      <c r="S553" s="29"/>
      <c r="T553" s="43"/>
      <c r="U553" s="29"/>
      <c r="V553" s="42"/>
      <c r="W553" s="29"/>
    </row>
    <row r="554" ht="15.75" customHeight="1">
      <c r="A554" s="29"/>
      <c r="B554" s="16"/>
      <c r="C554" s="29"/>
      <c r="D554" s="35"/>
      <c r="E554" s="35"/>
      <c r="F554" s="29"/>
      <c r="G554" s="19"/>
      <c r="H554" s="41"/>
      <c r="I554" s="25"/>
      <c r="J554" s="25"/>
      <c r="K554" s="41"/>
      <c r="L554" s="35"/>
      <c r="M554" s="35"/>
      <c r="N554" s="35"/>
      <c r="O554" s="26"/>
      <c r="P554" s="23"/>
      <c r="Q554" s="24"/>
      <c r="R554" s="29"/>
      <c r="S554" s="29"/>
      <c r="T554" s="43"/>
      <c r="U554" s="29"/>
      <c r="V554" s="42"/>
      <c r="W554" s="29"/>
    </row>
    <row r="555" ht="15.75" customHeight="1">
      <c r="A555" s="29"/>
      <c r="B555" s="16"/>
      <c r="C555" s="29"/>
      <c r="D555" s="35"/>
      <c r="E555" s="35"/>
      <c r="F555" s="29"/>
      <c r="G555" s="19"/>
      <c r="H555" s="41"/>
      <c r="I555" s="25"/>
      <c r="J555" s="25"/>
      <c r="K555" s="41"/>
      <c r="L555" s="35"/>
      <c r="M555" s="35"/>
      <c r="N555" s="35"/>
      <c r="O555" s="26"/>
      <c r="P555" s="23"/>
      <c r="Q555" s="24"/>
      <c r="R555" s="29"/>
      <c r="S555" s="29"/>
      <c r="T555" s="43"/>
      <c r="U555" s="29"/>
      <c r="V555" s="42"/>
      <c r="W555" s="29"/>
    </row>
    <row r="556" ht="15.75" customHeight="1">
      <c r="A556" s="29"/>
      <c r="B556" s="16"/>
      <c r="C556" s="29"/>
      <c r="D556" s="35"/>
      <c r="E556" s="35"/>
      <c r="F556" s="29"/>
      <c r="G556" s="19"/>
      <c r="H556" s="41"/>
      <c r="I556" s="25"/>
      <c r="J556" s="25"/>
      <c r="K556" s="41"/>
      <c r="L556" s="35"/>
      <c r="M556" s="35"/>
      <c r="N556" s="35"/>
      <c r="O556" s="26"/>
      <c r="P556" s="23"/>
      <c r="Q556" s="24"/>
      <c r="R556" s="29"/>
      <c r="S556" s="29"/>
      <c r="T556" s="43"/>
      <c r="U556" s="29"/>
      <c r="V556" s="42"/>
      <c r="W556" s="29"/>
    </row>
    <row r="557" ht="15.75" customHeight="1">
      <c r="A557" s="29"/>
      <c r="B557" s="16"/>
      <c r="C557" s="29"/>
      <c r="D557" s="35"/>
      <c r="E557" s="35"/>
      <c r="F557" s="29"/>
      <c r="G557" s="19"/>
      <c r="H557" s="41"/>
      <c r="I557" s="25"/>
      <c r="J557" s="25"/>
      <c r="K557" s="41"/>
      <c r="L557" s="35"/>
      <c r="M557" s="35"/>
      <c r="N557" s="35"/>
      <c r="O557" s="26"/>
      <c r="P557" s="23"/>
      <c r="Q557" s="24"/>
      <c r="R557" s="29"/>
      <c r="S557" s="29"/>
      <c r="T557" s="43"/>
      <c r="U557" s="29"/>
      <c r="V557" s="42"/>
      <c r="W557" s="29"/>
    </row>
    <row r="558" ht="15.75" customHeight="1">
      <c r="A558" s="29"/>
      <c r="B558" s="16"/>
      <c r="C558" s="29"/>
      <c r="D558" s="35"/>
      <c r="E558" s="35"/>
      <c r="F558" s="29"/>
      <c r="G558" s="19"/>
      <c r="H558" s="41"/>
      <c r="I558" s="25"/>
      <c r="J558" s="25"/>
      <c r="K558" s="41"/>
      <c r="L558" s="35"/>
      <c r="M558" s="35"/>
      <c r="N558" s="35"/>
      <c r="O558" s="26"/>
      <c r="P558" s="23"/>
      <c r="Q558" s="24"/>
      <c r="R558" s="29"/>
      <c r="S558" s="29"/>
      <c r="T558" s="43"/>
      <c r="U558" s="29"/>
      <c r="V558" s="42"/>
      <c r="W558" s="29"/>
    </row>
    <row r="559" ht="15.75" customHeight="1">
      <c r="A559" s="29"/>
      <c r="B559" s="16"/>
      <c r="C559" s="29"/>
      <c r="D559" s="35"/>
      <c r="E559" s="35"/>
      <c r="F559" s="29"/>
      <c r="G559" s="19"/>
      <c r="H559" s="41"/>
      <c r="I559" s="25"/>
      <c r="J559" s="25"/>
      <c r="K559" s="41"/>
      <c r="L559" s="35"/>
      <c r="M559" s="35"/>
      <c r="N559" s="35"/>
      <c r="O559" s="26"/>
      <c r="P559" s="23"/>
      <c r="Q559" s="24"/>
      <c r="R559" s="29"/>
      <c r="S559" s="29"/>
      <c r="T559" s="43"/>
      <c r="U559" s="29"/>
      <c r="V559" s="42"/>
      <c r="W559" s="29"/>
    </row>
    <row r="560" ht="15.75" customHeight="1">
      <c r="A560" s="29"/>
      <c r="B560" s="16"/>
      <c r="C560" s="29"/>
      <c r="D560" s="35"/>
      <c r="E560" s="35"/>
      <c r="F560" s="29"/>
      <c r="G560" s="19"/>
      <c r="H560" s="41"/>
      <c r="I560" s="25"/>
      <c r="J560" s="25"/>
      <c r="K560" s="41"/>
      <c r="L560" s="35"/>
      <c r="M560" s="35"/>
      <c r="N560" s="35"/>
      <c r="O560" s="26"/>
      <c r="P560" s="23"/>
      <c r="Q560" s="24"/>
      <c r="R560" s="29"/>
      <c r="S560" s="29"/>
      <c r="T560" s="43"/>
      <c r="U560" s="29"/>
      <c r="V560" s="42"/>
      <c r="W560" s="29"/>
    </row>
    <row r="561" ht="15.75" customHeight="1">
      <c r="A561" s="29"/>
      <c r="B561" s="16"/>
      <c r="C561" s="29"/>
      <c r="D561" s="35"/>
      <c r="E561" s="35"/>
      <c r="F561" s="29"/>
      <c r="G561" s="19"/>
      <c r="H561" s="41"/>
      <c r="I561" s="25"/>
      <c r="J561" s="25"/>
      <c r="K561" s="41"/>
      <c r="L561" s="35"/>
      <c r="M561" s="35"/>
      <c r="N561" s="35"/>
      <c r="O561" s="26"/>
      <c r="P561" s="23"/>
      <c r="Q561" s="24"/>
      <c r="R561" s="29"/>
      <c r="S561" s="29"/>
      <c r="T561" s="43"/>
      <c r="U561" s="29"/>
      <c r="V561" s="42"/>
      <c r="W561" s="29"/>
    </row>
    <row r="562" ht="15.75" customHeight="1">
      <c r="A562" s="29"/>
      <c r="B562" s="16"/>
      <c r="C562" s="29"/>
      <c r="D562" s="35"/>
      <c r="E562" s="35"/>
      <c r="F562" s="29"/>
      <c r="G562" s="19"/>
      <c r="H562" s="41"/>
      <c r="I562" s="25"/>
      <c r="J562" s="25"/>
      <c r="K562" s="41"/>
      <c r="L562" s="35"/>
      <c r="M562" s="35"/>
      <c r="N562" s="35"/>
      <c r="O562" s="26"/>
      <c r="P562" s="23"/>
      <c r="Q562" s="24"/>
      <c r="R562" s="29"/>
      <c r="S562" s="29"/>
      <c r="T562" s="43"/>
      <c r="U562" s="29"/>
      <c r="V562" s="42"/>
      <c r="W562" s="29"/>
    </row>
    <row r="563" ht="15.75" customHeight="1">
      <c r="A563" s="29"/>
      <c r="B563" s="16"/>
      <c r="C563" s="29"/>
      <c r="D563" s="35"/>
      <c r="E563" s="35"/>
      <c r="F563" s="29"/>
      <c r="G563" s="19"/>
      <c r="H563" s="41"/>
      <c r="I563" s="25"/>
      <c r="J563" s="25"/>
      <c r="K563" s="41"/>
      <c r="L563" s="35"/>
      <c r="M563" s="35"/>
      <c r="N563" s="35"/>
      <c r="O563" s="26"/>
      <c r="P563" s="23"/>
      <c r="Q563" s="24"/>
      <c r="R563" s="29"/>
      <c r="S563" s="29"/>
      <c r="T563" s="43"/>
      <c r="U563" s="29"/>
      <c r="V563" s="42"/>
      <c r="W563" s="29"/>
    </row>
    <row r="564" ht="15.75" customHeight="1">
      <c r="A564" s="29"/>
      <c r="B564" s="16"/>
      <c r="C564" s="29"/>
      <c r="D564" s="35"/>
      <c r="E564" s="35"/>
      <c r="F564" s="29"/>
      <c r="G564" s="19"/>
      <c r="H564" s="41"/>
      <c r="I564" s="25"/>
      <c r="J564" s="25"/>
      <c r="K564" s="41"/>
      <c r="L564" s="35"/>
      <c r="M564" s="35"/>
      <c r="N564" s="35"/>
      <c r="O564" s="26"/>
      <c r="P564" s="23"/>
      <c r="Q564" s="24"/>
      <c r="R564" s="29"/>
      <c r="S564" s="29"/>
      <c r="T564" s="43"/>
      <c r="U564" s="29"/>
      <c r="V564" s="42"/>
      <c r="W564" s="29"/>
    </row>
    <row r="565" ht="15.75" customHeight="1">
      <c r="A565" s="29"/>
      <c r="B565" s="16"/>
      <c r="C565" s="29"/>
      <c r="D565" s="35"/>
      <c r="E565" s="35"/>
      <c r="F565" s="29"/>
      <c r="G565" s="19"/>
      <c r="H565" s="41"/>
      <c r="I565" s="25"/>
      <c r="J565" s="25"/>
      <c r="K565" s="41"/>
      <c r="L565" s="35"/>
      <c r="M565" s="35"/>
      <c r="N565" s="35"/>
      <c r="O565" s="26"/>
      <c r="P565" s="23"/>
      <c r="Q565" s="24"/>
      <c r="R565" s="29"/>
      <c r="S565" s="29"/>
      <c r="T565" s="43"/>
      <c r="U565" s="29"/>
      <c r="V565" s="42"/>
      <c r="W565" s="29"/>
    </row>
    <row r="566" ht="15.75" customHeight="1">
      <c r="A566" s="29"/>
      <c r="B566" s="16"/>
      <c r="C566" s="29"/>
      <c r="D566" s="35"/>
      <c r="E566" s="35"/>
      <c r="F566" s="29"/>
      <c r="G566" s="19"/>
      <c r="H566" s="41"/>
      <c r="I566" s="25"/>
      <c r="J566" s="25"/>
      <c r="K566" s="41"/>
      <c r="L566" s="35"/>
      <c r="M566" s="35"/>
      <c r="N566" s="35"/>
      <c r="O566" s="26"/>
      <c r="P566" s="23"/>
      <c r="Q566" s="24"/>
      <c r="R566" s="29"/>
      <c r="S566" s="29"/>
      <c r="T566" s="43"/>
      <c r="U566" s="29"/>
      <c r="V566" s="42"/>
      <c r="W566" s="29"/>
    </row>
    <row r="567" ht="15.75" customHeight="1">
      <c r="A567" s="29"/>
      <c r="B567" s="16"/>
      <c r="C567" s="29"/>
      <c r="D567" s="35"/>
      <c r="E567" s="35"/>
      <c r="F567" s="29"/>
      <c r="G567" s="19"/>
      <c r="H567" s="41"/>
      <c r="I567" s="25"/>
      <c r="J567" s="25"/>
      <c r="K567" s="41"/>
      <c r="L567" s="35"/>
      <c r="M567" s="35"/>
      <c r="N567" s="35"/>
      <c r="O567" s="26"/>
      <c r="P567" s="23"/>
      <c r="Q567" s="24"/>
      <c r="R567" s="29"/>
      <c r="S567" s="29"/>
      <c r="T567" s="43"/>
      <c r="U567" s="29"/>
      <c r="V567" s="42"/>
      <c r="W567" s="29"/>
    </row>
    <row r="568" ht="15.75" customHeight="1">
      <c r="A568" s="29"/>
      <c r="B568" s="16"/>
      <c r="C568" s="29"/>
      <c r="D568" s="35"/>
      <c r="E568" s="35"/>
      <c r="F568" s="29"/>
      <c r="G568" s="19"/>
      <c r="H568" s="41"/>
      <c r="I568" s="25"/>
      <c r="J568" s="25"/>
      <c r="K568" s="41"/>
      <c r="L568" s="35"/>
      <c r="M568" s="35"/>
      <c r="N568" s="35"/>
      <c r="O568" s="26"/>
      <c r="P568" s="23"/>
      <c r="Q568" s="24"/>
      <c r="R568" s="29"/>
      <c r="S568" s="29"/>
      <c r="T568" s="43"/>
      <c r="U568" s="29"/>
      <c r="V568" s="42"/>
      <c r="W568" s="29"/>
    </row>
    <row r="569" ht="15.75" customHeight="1">
      <c r="A569" s="29"/>
      <c r="B569" s="16"/>
      <c r="C569" s="29"/>
      <c r="D569" s="35"/>
      <c r="E569" s="35"/>
      <c r="F569" s="29"/>
      <c r="G569" s="19"/>
      <c r="H569" s="41"/>
      <c r="I569" s="25"/>
      <c r="J569" s="25"/>
      <c r="K569" s="41"/>
      <c r="L569" s="35"/>
      <c r="M569" s="35"/>
      <c r="N569" s="35"/>
      <c r="O569" s="26"/>
      <c r="P569" s="23"/>
      <c r="Q569" s="24"/>
      <c r="R569" s="29"/>
      <c r="S569" s="29"/>
      <c r="T569" s="43"/>
      <c r="U569" s="29"/>
      <c r="V569" s="42"/>
      <c r="W569" s="29"/>
    </row>
    <row r="570" ht="15.75" customHeight="1">
      <c r="A570" s="29"/>
      <c r="B570" s="16"/>
      <c r="C570" s="29"/>
      <c r="D570" s="35"/>
      <c r="E570" s="35"/>
      <c r="F570" s="29"/>
      <c r="G570" s="19"/>
      <c r="H570" s="41"/>
      <c r="I570" s="25"/>
      <c r="J570" s="25"/>
      <c r="K570" s="41"/>
      <c r="L570" s="35"/>
      <c r="M570" s="35"/>
      <c r="N570" s="35"/>
      <c r="O570" s="26"/>
      <c r="P570" s="23"/>
      <c r="Q570" s="24"/>
      <c r="R570" s="29"/>
      <c r="S570" s="29"/>
      <c r="T570" s="43"/>
      <c r="U570" s="29"/>
      <c r="V570" s="42"/>
      <c r="W570" s="29"/>
    </row>
    <row r="571" ht="15.75" customHeight="1">
      <c r="A571" s="29"/>
      <c r="B571" s="16"/>
      <c r="C571" s="29"/>
      <c r="D571" s="35"/>
      <c r="E571" s="35"/>
      <c r="F571" s="29"/>
      <c r="G571" s="19"/>
      <c r="H571" s="41"/>
      <c r="I571" s="25"/>
      <c r="J571" s="25"/>
      <c r="K571" s="41"/>
      <c r="L571" s="35"/>
      <c r="M571" s="35"/>
      <c r="N571" s="35"/>
      <c r="O571" s="26"/>
      <c r="P571" s="23"/>
      <c r="Q571" s="24"/>
      <c r="R571" s="29"/>
      <c r="S571" s="29"/>
      <c r="T571" s="43"/>
      <c r="U571" s="29"/>
      <c r="V571" s="42"/>
      <c r="W571" s="29"/>
    </row>
    <row r="572" ht="15.75" customHeight="1">
      <c r="A572" s="29"/>
      <c r="B572" s="16"/>
      <c r="C572" s="29"/>
      <c r="D572" s="35"/>
      <c r="E572" s="35"/>
      <c r="F572" s="29"/>
      <c r="G572" s="19"/>
      <c r="H572" s="41"/>
      <c r="I572" s="25"/>
      <c r="J572" s="25"/>
      <c r="K572" s="41"/>
      <c r="L572" s="35"/>
      <c r="M572" s="35"/>
      <c r="N572" s="35"/>
      <c r="O572" s="26"/>
      <c r="P572" s="23"/>
      <c r="Q572" s="24"/>
      <c r="R572" s="29"/>
      <c r="S572" s="29"/>
      <c r="T572" s="43"/>
      <c r="U572" s="29"/>
      <c r="V572" s="42"/>
      <c r="W572" s="29"/>
    </row>
    <row r="573" ht="15.75" customHeight="1">
      <c r="A573" s="29"/>
      <c r="B573" s="16"/>
      <c r="C573" s="29"/>
      <c r="D573" s="35"/>
      <c r="E573" s="35"/>
      <c r="F573" s="29"/>
      <c r="G573" s="19"/>
      <c r="H573" s="41"/>
      <c r="I573" s="25"/>
      <c r="J573" s="25"/>
      <c r="K573" s="41"/>
      <c r="L573" s="35"/>
      <c r="M573" s="35"/>
      <c r="N573" s="35"/>
      <c r="O573" s="26"/>
      <c r="P573" s="23"/>
      <c r="Q573" s="24"/>
      <c r="R573" s="29"/>
      <c r="S573" s="29"/>
      <c r="T573" s="43"/>
      <c r="U573" s="29"/>
      <c r="V573" s="42"/>
      <c r="W573" s="29"/>
    </row>
    <row r="574" ht="15.75" customHeight="1">
      <c r="A574" s="29"/>
      <c r="B574" s="16"/>
      <c r="C574" s="29"/>
      <c r="D574" s="35"/>
      <c r="E574" s="35"/>
      <c r="F574" s="29"/>
      <c r="G574" s="19"/>
      <c r="H574" s="41"/>
      <c r="I574" s="25"/>
      <c r="J574" s="25"/>
      <c r="K574" s="41"/>
      <c r="L574" s="35"/>
      <c r="M574" s="35"/>
      <c r="N574" s="35"/>
      <c r="O574" s="26"/>
      <c r="P574" s="23"/>
      <c r="Q574" s="24"/>
      <c r="R574" s="29"/>
      <c r="S574" s="29"/>
      <c r="T574" s="43"/>
      <c r="U574" s="29"/>
      <c r="V574" s="42"/>
      <c r="W574" s="29"/>
    </row>
    <row r="575" ht="15.75" customHeight="1">
      <c r="A575" s="29"/>
      <c r="B575" s="16"/>
      <c r="C575" s="29"/>
      <c r="D575" s="35"/>
      <c r="E575" s="35"/>
      <c r="F575" s="29"/>
      <c r="G575" s="19"/>
      <c r="H575" s="41"/>
      <c r="I575" s="25"/>
      <c r="J575" s="25"/>
      <c r="K575" s="41"/>
      <c r="L575" s="35"/>
      <c r="M575" s="35"/>
      <c r="N575" s="35"/>
      <c r="O575" s="26"/>
      <c r="P575" s="23"/>
      <c r="Q575" s="24"/>
      <c r="R575" s="29"/>
      <c r="S575" s="29"/>
      <c r="T575" s="43"/>
      <c r="U575" s="29"/>
      <c r="V575" s="42"/>
      <c r="W575" s="29"/>
    </row>
    <row r="576" ht="15.75" customHeight="1">
      <c r="A576" s="29"/>
      <c r="B576" s="16"/>
      <c r="C576" s="29"/>
      <c r="D576" s="35"/>
      <c r="E576" s="35"/>
      <c r="F576" s="29"/>
      <c r="G576" s="19"/>
      <c r="H576" s="41"/>
      <c r="I576" s="25"/>
      <c r="J576" s="25"/>
      <c r="K576" s="41"/>
      <c r="L576" s="35"/>
      <c r="M576" s="35"/>
      <c r="N576" s="35"/>
      <c r="O576" s="26"/>
      <c r="P576" s="23"/>
      <c r="Q576" s="24"/>
      <c r="R576" s="29"/>
      <c r="S576" s="29"/>
      <c r="T576" s="43"/>
      <c r="U576" s="29"/>
      <c r="V576" s="42"/>
      <c r="W576" s="29"/>
    </row>
    <row r="577" ht="15.75" customHeight="1">
      <c r="A577" s="29"/>
      <c r="B577" s="16"/>
      <c r="C577" s="29"/>
      <c r="D577" s="35"/>
      <c r="E577" s="35"/>
      <c r="F577" s="29"/>
      <c r="G577" s="19"/>
      <c r="H577" s="41"/>
      <c r="I577" s="25"/>
      <c r="J577" s="25"/>
      <c r="K577" s="41"/>
      <c r="L577" s="35"/>
      <c r="M577" s="35"/>
      <c r="N577" s="35"/>
      <c r="O577" s="26"/>
      <c r="P577" s="23"/>
      <c r="Q577" s="24"/>
      <c r="R577" s="29"/>
      <c r="S577" s="29"/>
      <c r="T577" s="43"/>
      <c r="U577" s="29"/>
      <c r="V577" s="42"/>
      <c r="W577" s="29"/>
    </row>
    <row r="578" ht="15.75" customHeight="1">
      <c r="A578" s="29"/>
      <c r="B578" s="16"/>
      <c r="C578" s="29"/>
      <c r="D578" s="35"/>
      <c r="E578" s="35"/>
      <c r="F578" s="29"/>
      <c r="G578" s="19"/>
      <c r="H578" s="41"/>
      <c r="I578" s="25"/>
      <c r="J578" s="25"/>
      <c r="K578" s="41"/>
      <c r="L578" s="35"/>
      <c r="M578" s="35"/>
      <c r="N578" s="35"/>
      <c r="O578" s="26"/>
      <c r="P578" s="23"/>
      <c r="Q578" s="24"/>
      <c r="R578" s="29"/>
      <c r="S578" s="29"/>
      <c r="T578" s="43"/>
      <c r="U578" s="29"/>
      <c r="V578" s="42"/>
      <c r="W578" s="29"/>
    </row>
    <row r="579" ht="15.75" customHeight="1">
      <c r="A579" s="29"/>
      <c r="B579" s="16"/>
      <c r="C579" s="29"/>
      <c r="D579" s="35"/>
      <c r="E579" s="35"/>
      <c r="F579" s="29"/>
      <c r="G579" s="19"/>
      <c r="H579" s="41"/>
      <c r="I579" s="25"/>
      <c r="J579" s="25"/>
      <c r="K579" s="41"/>
      <c r="L579" s="35"/>
      <c r="M579" s="35"/>
      <c r="N579" s="35"/>
      <c r="O579" s="26"/>
      <c r="P579" s="23"/>
      <c r="Q579" s="24"/>
      <c r="R579" s="29"/>
      <c r="S579" s="29"/>
      <c r="T579" s="43"/>
      <c r="U579" s="29"/>
      <c r="V579" s="42"/>
      <c r="W579" s="29"/>
    </row>
    <row r="580" ht="15.75" customHeight="1">
      <c r="A580" s="29"/>
      <c r="B580" s="16"/>
      <c r="C580" s="29"/>
      <c r="D580" s="35"/>
      <c r="E580" s="35"/>
      <c r="F580" s="29"/>
      <c r="G580" s="19"/>
      <c r="H580" s="41"/>
      <c r="I580" s="25"/>
      <c r="J580" s="25"/>
      <c r="K580" s="41"/>
      <c r="L580" s="35"/>
      <c r="M580" s="35"/>
      <c r="N580" s="35"/>
      <c r="O580" s="26"/>
      <c r="P580" s="23"/>
      <c r="Q580" s="24"/>
      <c r="R580" s="29"/>
      <c r="S580" s="29"/>
      <c r="T580" s="43"/>
      <c r="U580" s="29"/>
      <c r="V580" s="42"/>
      <c r="W580" s="29"/>
    </row>
    <row r="581" ht="15.75" customHeight="1">
      <c r="A581" s="29"/>
      <c r="B581" s="16"/>
      <c r="C581" s="29"/>
      <c r="D581" s="35"/>
      <c r="E581" s="35"/>
      <c r="F581" s="29"/>
      <c r="G581" s="19"/>
      <c r="H581" s="41"/>
      <c r="I581" s="25"/>
      <c r="J581" s="25"/>
      <c r="K581" s="41"/>
      <c r="L581" s="35"/>
      <c r="M581" s="35"/>
      <c r="N581" s="35"/>
      <c r="O581" s="26"/>
      <c r="P581" s="23"/>
      <c r="Q581" s="24"/>
      <c r="R581" s="29"/>
      <c r="S581" s="29"/>
      <c r="T581" s="43"/>
      <c r="U581" s="29"/>
      <c r="V581" s="42"/>
      <c r="W581" s="29"/>
    </row>
    <row r="582" ht="15.75" customHeight="1">
      <c r="A582" s="29"/>
      <c r="B582" s="16"/>
      <c r="C582" s="29"/>
      <c r="D582" s="35"/>
      <c r="E582" s="35"/>
      <c r="F582" s="29"/>
      <c r="G582" s="19"/>
      <c r="H582" s="41"/>
      <c r="I582" s="25"/>
      <c r="J582" s="25"/>
      <c r="K582" s="41"/>
      <c r="L582" s="35"/>
      <c r="M582" s="35"/>
      <c r="N582" s="35"/>
      <c r="O582" s="26"/>
      <c r="P582" s="23"/>
      <c r="Q582" s="24"/>
      <c r="R582" s="29"/>
      <c r="S582" s="29"/>
      <c r="T582" s="43"/>
      <c r="U582" s="29"/>
      <c r="V582" s="42"/>
      <c r="W582" s="29"/>
    </row>
    <row r="583" ht="15.75" customHeight="1">
      <c r="A583" s="29"/>
      <c r="B583" s="16"/>
      <c r="C583" s="29"/>
      <c r="D583" s="35"/>
      <c r="E583" s="35"/>
      <c r="F583" s="29"/>
      <c r="G583" s="19"/>
      <c r="H583" s="41"/>
      <c r="I583" s="25"/>
      <c r="J583" s="25"/>
      <c r="K583" s="41"/>
      <c r="L583" s="35"/>
      <c r="M583" s="35"/>
      <c r="N583" s="35"/>
      <c r="O583" s="26"/>
      <c r="P583" s="23"/>
      <c r="Q583" s="24"/>
      <c r="R583" s="29"/>
      <c r="S583" s="29"/>
      <c r="T583" s="43"/>
      <c r="U583" s="29"/>
      <c r="V583" s="42"/>
      <c r="W583" s="29"/>
    </row>
    <row r="584" ht="15.75" customHeight="1">
      <c r="A584" s="29"/>
      <c r="B584" s="16"/>
      <c r="C584" s="29"/>
      <c r="D584" s="35"/>
      <c r="E584" s="35"/>
      <c r="F584" s="29"/>
      <c r="G584" s="19"/>
      <c r="H584" s="41"/>
      <c r="I584" s="25"/>
      <c r="J584" s="25"/>
      <c r="K584" s="41"/>
      <c r="L584" s="35"/>
      <c r="M584" s="35"/>
      <c r="N584" s="35"/>
      <c r="O584" s="26"/>
      <c r="P584" s="23"/>
      <c r="Q584" s="24"/>
      <c r="R584" s="29"/>
      <c r="S584" s="29"/>
      <c r="T584" s="43"/>
      <c r="U584" s="29"/>
      <c r="V584" s="42"/>
      <c r="W584" s="29"/>
    </row>
    <row r="585" ht="15.75" customHeight="1">
      <c r="A585" s="29"/>
      <c r="B585" s="16"/>
      <c r="C585" s="29"/>
      <c r="D585" s="35"/>
      <c r="E585" s="35"/>
      <c r="F585" s="29"/>
      <c r="G585" s="19"/>
      <c r="H585" s="41"/>
      <c r="I585" s="25"/>
      <c r="J585" s="25"/>
      <c r="K585" s="41"/>
      <c r="L585" s="35"/>
      <c r="M585" s="35"/>
      <c r="N585" s="35"/>
      <c r="O585" s="26"/>
      <c r="P585" s="23"/>
      <c r="Q585" s="24"/>
      <c r="R585" s="29"/>
      <c r="S585" s="29"/>
      <c r="T585" s="43"/>
      <c r="U585" s="29"/>
      <c r="V585" s="42"/>
      <c r="W585" s="29"/>
    </row>
    <row r="586" ht="15.75" customHeight="1">
      <c r="A586" s="29"/>
      <c r="B586" s="16"/>
      <c r="C586" s="29"/>
      <c r="D586" s="35"/>
      <c r="E586" s="35"/>
      <c r="F586" s="29"/>
      <c r="G586" s="19"/>
      <c r="H586" s="41"/>
      <c r="I586" s="25"/>
      <c r="J586" s="25"/>
      <c r="K586" s="41"/>
      <c r="L586" s="35"/>
      <c r="M586" s="35"/>
      <c r="N586" s="35"/>
      <c r="O586" s="26"/>
      <c r="P586" s="23"/>
      <c r="Q586" s="24"/>
      <c r="R586" s="29"/>
      <c r="S586" s="29"/>
      <c r="T586" s="43"/>
      <c r="U586" s="29"/>
      <c r="V586" s="42"/>
      <c r="W586" s="29"/>
    </row>
    <row r="587" ht="15.75" customHeight="1">
      <c r="A587" s="29"/>
      <c r="B587" s="16"/>
      <c r="C587" s="29"/>
      <c r="D587" s="35"/>
      <c r="E587" s="35"/>
      <c r="F587" s="29"/>
      <c r="G587" s="19"/>
      <c r="H587" s="41"/>
      <c r="I587" s="25"/>
      <c r="J587" s="25"/>
      <c r="K587" s="41"/>
      <c r="L587" s="35"/>
      <c r="M587" s="35"/>
      <c r="N587" s="35"/>
      <c r="O587" s="26"/>
      <c r="P587" s="23"/>
      <c r="Q587" s="24"/>
      <c r="R587" s="29"/>
      <c r="S587" s="29"/>
      <c r="T587" s="43"/>
      <c r="U587" s="29"/>
      <c r="V587" s="42"/>
      <c r="W587" s="29"/>
    </row>
    <row r="588" ht="15.75" customHeight="1">
      <c r="A588" s="29"/>
      <c r="B588" s="16"/>
      <c r="C588" s="29"/>
      <c r="D588" s="35"/>
      <c r="E588" s="35"/>
      <c r="F588" s="29"/>
      <c r="G588" s="19"/>
      <c r="H588" s="41"/>
      <c r="I588" s="25"/>
      <c r="J588" s="25"/>
      <c r="K588" s="41"/>
      <c r="L588" s="35"/>
      <c r="M588" s="35"/>
      <c r="N588" s="35"/>
      <c r="O588" s="26"/>
      <c r="P588" s="23"/>
      <c r="Q588" s="24"/>
      <c r="R588" s="29"/>
      <c r="S588" s="29"/>
      <c r="T588" s="43"/>
      <c r="U588" s="29"/>
      <c r="V588" s="42"/>
      <c r="W588" s="29"/>
    </row>
    <row r="589" ht="15.75" customHeight="1">
      <c r="A589" s="29"/>
      <c r="B589" s="16"/>
      <c r="C589" s="29"/>
      <c r="D589" s="35"/>
      <c r="E589" s="35"/>
      <c r="F589" s="29"/>
      <c r="G589" s="19"/>
      <c r="H589" s="41"/>
      <c r="I589" s="25"/>
      <c r="J589" s="25"/>
      <c r="K589" s="41"/>
      <c r="L589" s="35"/>
      <c r="M589" s="35"/>
      <c r="N589" s="35"/>
      <c r="O589" s="26"/>
      <c r="P589" s="23"/>
      <c r="Q589" s="24"/>
      <c r="R589" s="29"/>
      <c r="S589" s="29"/>
      <c r="T589" s="43"/>
      <c r="U589" s="29"/>
      <c r="V589" s="42"/>
      <c r="W589" s="29"/>
    </row>
    <row r="590" ht="15.75" customHeight="1">
      <c r="A590" s="29"/>
      <c r="B590" s="16"/>
      <c r="C590" s="29"/>
      <c r="D590" s="35"/>
      <c r="E590" s="35"/>
      <c r="F590" s="29"/>
      <c r="G590" s="19"/>
      <c r="H590" s="41"/>
      <c r="I590" s="25"/>
      <c r="J590" s="25"/>
      <c r="K590" s="41"/>
      <c r="L590" s="35"/>
      <c r="M590" s="35"/>
      <c r="N590" s="35"/>
      <c r="O590" s="26"/>
      <c r="P590" s="23"/>
      <c r="Q590" s="24"/>
      <c r="R590" s="29"/>
      <c r="S590" s="29"/>
      <c r="T590" s="43"/>
      <c r="U590" s="29"/>
      <c r="V590" s="42"/>
      <c r="W590" s="29"/>
    </row>
    <row r="591" ht="15.75" customHeight="1">
      <c r="A591" s="29"/>
      <c r="B591" s="16"/>
      <c r="C591" s="29"/>
      <c r="D591" s="35"/>
      <c r="E591" s="35"/>
      <c r="F591" s="29"/>
      <c r="G591" s="19"/>
      <c r="H591" s="41"/>
      <c r="I591" s="25"/>
      <c r="J591" s="25"/>
      <c r="K591" s="41"/>
      <c r="L591" s="35"/>
      <c r="M591" s="35"/>
      <c r="N591" s="35"/>
      <c r="O591" s="26"/>
      <c r="P591" s="23"/>
      <c r="Q591" s="24"/>
      <c r="R591" s="29"/>
      <c r="S591" s="29"/>
      <c r="T591" s="43"/>
      <c r="U591" s="29"/>
      <c r="V591" s="42"/>
      <c r="W591" s="29"/>
    </row>
    <row r="592" ht="15.75" customHeight="1">
      <c r="A592" s="29"/>
      <c r="B592" s="16"/>
      <c r="C592" s="29"/>
      <c r="D592" s="35"/>
      <c r="E592" s="35"/>
      <c r="F592" s="29"/>
      <c r="G592" s="19"/>
      <c r="H592" s="41"/>
      <c r="I592" s="25"/>
      <c r="J592" s="25"/>
      <c r="K592" s="41"/>
      <c r="L592" s="35"/>
      <c r="M592" s="35"/>
      <c r="N592" s="35"/>
      <c r="O592" s="26"/>
      <c r="P592" s="23"/>
      <c r="Q592" s="24"/>
      <c r="R592" s="29"/>
      <c r="S592" s="29"/>
      <c r="T592" s="43"/>
      <c r="U592" s="29"/>
      <c r="V592" s="42"/>
      <c r="W592" s="29"/>
    </row>
    <row r="593" ht="15.75" customHeight="1">
      <c r="A593" s="29"/>
      <c r="B593" s="16"/>
      <c r="C593" s="29"/>
      <c r="D593" s="35"/>
      <c r="E593" s="35"/>
      <c r="F593" s="29"/>
      <c r="G593" s="19"/>
      <c r="H593" s="41"/>
      <c r="I593" s="25"/>
      <c r="J593" s="25"/>
      <c r="K593" s="41"/>
      <c r="L593" s="35"/>
      <c r="M593" s="35"/>
      <c r="N593" s="35"/>
      <c r="O593" s="26"/>
      <c r="P593" s="23"/>
      <c r="Q593" s="24"/>
      <c r="R593" s="29"/>
      <c r="S593" s="29"/>
      <c r="T593" s="43"/>
      <c r="U593" s="29"/>
      <c r="V593" s="42"/>
      <c r="W593" s="29"/>
    </row>
    <row r="594" ht="15.75" customHeight="1">
      <c r="A594" s="29"/>
      <c r="B594" s="16"/>
      <c r="C594" s="29"/>
      <c r="D594" s="35"/>
      <c r="E594" s="35"/>
      <c r="F594" s="29"/>
      <c r="G594" s="19"/>
      <c r="H594" s="41"/>
      <c r="I594" s="25"/>
      <c r="J594" s="25"/>
      <c r="K594" s="41"/>
      <c r="L594" s="35"/>
      <c r="M594" s="35"/>
      <c r="N594" s="35"/>
      <c r="O594" s="26"/>
      <c r="P594" s="23"/>
      <c r="Q594" s="24"/>
      <c r="R594" s="29"/>
      <c r="S594" s="29"/>
      <c r="T594" s="43"/>
      <c r="U594" s="29"/>
      <c r="V594" s="42"/>
      <c r="W594" s="29"/>
    </row>
    <row r="595" ht="15.75" customHeight="1">
      <c r="A595" s="29"/>
      <c r="B595" s="16"/>
      <c r="C595" s="29"/>
      <c r="D595" s="35"/>
      <c r="E595" s="35"/>
      <c r="F595" s="29"/>
      <c r="G595" s="19"/>
      <c r="H595" s="41"/>
      <c r="I595" s="25"/>
      <c r="J595" s="25"/>
      <c r="K595" s="41"/>
      <c r="L595" s="35"/>
      <c r="M595" s="35"/>
      <c r="N595" s="35"/>
      <c r="O595" s="26"/>
      <c r="P595" s="23"/>
      <c r="Q595" s="24"/>
      <c r="R595" s="29"/>
      <c r="S595" s="29"/>
      <c r="T595" s="43"/>
      <c r="U595" s="29"/>
      <c r="V595" s="42"/>
      <c r="W595" s="29"/>
    </row>
    <row r="596" ht="15.75" customHeight="1">
      <c r="A596" s="29"/>
      <c r="B596" s="16"/>
      <c r="C596" s="29"/>
      <c r="D596" s="35"/>
      <c r="E596" s="35"/>
      <c r="F596" s="29"/>
      <c r="G596" s="19"/>
      <c r="H596" s="41"/>
      <c r="I596" s="25"/>
      <c r="J596" s="25"/>
      <c r="K596" s="41"/>
      <c r="L596" s="35"/>
      <c r="M596" s="35"/>
      <c r="N596" s="35"/>
      <c r="O596" s="26"/>
      <c r="P596" s="23"/>
      <c r="Q596" s="24"/>
      <c r="R596" s="29"/>
      <c r="S596" s="29"/>
      <c r="T596" s="43"/>
      <c r="U596" s="29"/>
      <c r="V596" s="42"/>
      <c r="W596" s="29"/>
    </row>
    <row r="597" ht="15.75" customHeight="1">
      <c r="A597" s="29"/>
      <c r="B597" s="16"/>
      <c r="C597" s="29"/>
      <c r="D597" s="35"/>
      <c r="E597" s="35"/>
      <c r="F597" s="29"/>
      <c r="G597" s="19"/>
      <c r="H597" s="41"/>
      <c r="I597" s="25"/>
      <c r="J597" s="25"/>
      <c r="K597" s="41"/>
      <c r="L597" s="35"/>
      <c r="M597" s="35"/>
      <c r="N597" s="35"/>
      <c r="O597" s="26"/>
      <c r="P597" s="23"/>
      <c r="Q597" s="24"/>
      <c r="R597" s="29"/>
      <c r="S597" s="29"/>
      <c r="T597" s="43"/>
      <c r="U597" s="29"/>
      <c r="V597" s="42"/>
      <c r="W597" s="29"/>
    </row>
    <row r="598" ht="15.75" customHeight="1">
      <c r="A598" s="29"/>
      <c r="B598" s="16"/>
      <c r="C598" s="29"/>
      <c r="D598" s="35"/>
      <c r="E598" s="35"/>
      <c r="F598" s="29"/>
      <c r="G598" s="19"/>
      <c r="H598" s="41"/>
      <c r="I598" s="25"/>
      <c r="J598" s="25"/>
      <c r="K598" s="41"/>
      <c r="L598" s="35"/>
      <c r="M598" s="35"/>
      <c r="N598" s="35"/>
      <c r="O598" s="26"/>
      <c r="P598" s="23"/>
      <c r="Q598" s="24"/>
      <c r="R598" s="29"/>
      <c r="S598" s="29"/>
      <c r="T598" s="43"/>
      <c r="U598" s="29"/>
      <c r="V598" s="42"/>
      <c r="W598" s="29"/>
    </row>
    <row r="599" ht="15.75" customHeight="1">
      <c r="A599" s="29"/>
      <c r="B599" s="16"/>
      <c r="C599" s="29"/>
      <c r="D599" s="35"/>
      <c r="E599" s="35"/>
      <c r="F599" s="29"/>
      <c r="G599" s="19"/>
      <c r="H599" s="41"/>
      <c r="I599" s="25"/>
      <c r="J599" s="25"/>
      <c r="K599" s="41"/>
      <c r="L599" s="35"/>
      <c r="M599" s="35"/>
      <c r="N599" s="35"/>
      <c r="O599" s="26"/>
      <c r="P599" s="23"/>
      <c r="Q599" s="24"/>
      <c r="R599" s="29"/>
      <c r="S599" s="29"/>
      <c r="T599" s="43"/>
      <c r="U599" s="29"/>
      <c r="V599" s="42"/>
      <c r="W599" s="29"/>
    </row>
    <row r="600" ht="15.75" customHeight="1">
      <c r="A600" s="29"/>
      <c r="B600" s="16"/>
      <c r="C600" s="29"/>
      <c r="D600" s="35"/>
      <c r="E600" s="35"/>
      <c r="F600" s="29"/>
      <c r="G600" s="19"/>
      <c r="H600" s="41"/>
      <c r="I600" s="25"/>
      <c r="J600" s="25"/>
      <c r="K600" s="41"/>
      <c r="L600" s="35"/>
      <c r="M600" s="35"/>
      <c r="N600" s="35"/>
      <c r="O600" s="26"/>
      <c r="P600" s="23"/>
      <c r="Q600" s="24"/>
      <c r="R600" s="29"/>
      <c r="S600" s="29"/>
      <c r="T600" s="43"/>
      <c r="U600" s="29"/>
      <c r="V600" s="42"/>
      <c r="W600" s="29"/>
    </row>
    <row r="601" ht="15.75" customHeight="1">
      <c r="A601" s="29"/>
      <c r="B601" s="16"/>
      <c r="C601" s="29"/>
      <c r="D601" s="35"/>
      <c r="E601" s="35"/>
      <c r="F601" s="29"/>
      <c r="G601" s="19"/>
      <c r="H601" s="41"/>
      <c r="I601" s="25"/>
      <c r="J601" s="25"/>
      <c r="K601" s="41"/>
      <c r="L601" s="35"/>
      <c r="M601" s="35"/>
      <c r="N601" s="35"/>
      <c r="O601" s="26"/>
      <c r="P601" s="23"/>
      <c r="Q601" s="24"/>
      <c r="R601" s="29"/>
      <c r="S601" s="29"/>
      <c r="T601" s="43"/>
      <c r="U601" s="29"/>
      <c r="V601" s="42"/>
      <c r="W601" s="29"/>
    </row>
    <row r="602" ht="15.75" customHeight="1">
      <c r="A602" s="29"/>
      <c r="B602" s="16"/>
      <c r="C602" s="29"/>
      <c r="D602" s="35"/>
      <c r="E602" s="35"/>
      <c r="F602" s="29"/>
      <c r="G602" s="19"/>
      <c r="H602" s="41"/>
      <c r="I602" s="25"/>
      <c r="J602" s="25"/>
      <c r="K602" s="41"/>
      <c r="L602" s="35"/>
      <c r="M602" s="35"/>
      <c r="N602" s="35"/>
      <c r="O602" s="26"/>
      <c r="P602" s="23"/>
      <c r="Q602" s="24"/>
      <c r="R602" s="29"/>
      <c r="S602" s="29"/>
      <c r="T602" s="43"/>
      <c r="U602" s="29"/>
      <c r="V602" s="42"/>
      <c r="W602" s="29"/>
    </row>
    <row r="603" ht="15.75" customHeight="1">
      <c r="A603" s="29"/>
      <c r="B603" s="16"/>
      <c r="C603" s="29"/>
      <c r="D603" s="35"/>
      <c r="E603" s="35"/>
      <c r="F603" s="29"/>
      <c r="G603" s="19"/>
      <c r="H603" s="41"/>
      <c r="I603" s="25"/>
      <c r="J603" s="25"/>
      <c r="K603" s="41"/>
      <c r="L603" s="35"/>
      <c r="M603" s="35"/>
      <c r="N603" s="35"/>
      <c r="O603" s="26"/>
      <c r="P603" s="23"/>
      <c r="Q603" s="24"/>
      <c r="R603" s="29"/>
      <c r="S603" s="29"/>
      <c r="T603" s="43"/>
      <c r="U603" s="29"/>
      <c r="V603" s="42"/>
      <c r="W603" s="29"/>
    </row>
    <row r="604" ht="15.75" customHeight="1">
      <c r="A604" s="29"/>
      <c r="B604" s="16"/>
      <c r="C604" s="29"/>
      <c r="D604" s="35"/>
      <c r="E604" s="35"/>
      <c r="F604" s="29"/>
      <c r="G604" s="19"/>
      <c r="H604" s="41"/>
      <c r="I604" s="25"/>
      <c r="J604" s="25"/>
      <c r="K604" s="41"/>
      <c r="L604" s="35"/>
      <c r="M604" s="35"/>
      <c r="N604" s="35"/>
      <c r="O604" s="26"/>
      <c r="P604" s="23"/>
      <c r="Q604" s="24"/>
      <c r="R604" s="29"/>
      <c r="S604" s="29"/>
      <c r="T604" s="43"/>
      <c r="U604" s="29"/>
      <c r="V604" s="42"/>
      <c r="W604" s="29"/>
    </row>
    <row r="605" ht="15.75" customHeight="1">
      <c r="A605" s="29"/>
      <c r="B605" s="16"/>
      <c r="C605" s="29"/>
      <c r="D605" s="35"/>
      <c r="E605" s="35"/>
      <c r="F605" s="29"/>
      <c r="G605" s="19"/>
      <c r="H605" s="41"/>
      <c r="I605" s="25"/>
      <c r="J605" s="25"/>
      <c r="K605" s="41"/>
      <c r="L605" s="35"/>
      <c r="M605" s="35"/>
      <c r="N605" s="35"/>
      <c r="O605" s="26"/>
      <c r="P605" s="23"/>
      <c r="Q605" s="24"/>
      <c r="R605" s="29"/>
      <c r="S605" s="29"/>
      <c r="T605" s="43"/>
      <c r="U605" s="29"/>
      <c r="V605" s="42"/>
      <c r="W605" s="29"/>
    </row>
    <row r="606" ht="15.75" customHeight="1">
      <c r="A606" s="29"/>
      <c r="B606" s="16"/>
      <c r="C606" s="29"/>
      <c r="D606" s="35"/>
      <c r="E606" s="35"/>
      <c r="F606" s="29"/>
      <c r="G606" s="19"/>
      <c r="H606" s="41"/>
      <c r="I606" s="25"/>
      <c r="J606" s="25"/>
      <c r="K606" s="41"/>
      <c r="L606" s="35"/>
      <c r="M606" s="35"/>
      <c r="N606" s="35"/>
      <c r="O606" s="26"/>
      <c r="P606" s="23"/>
      <c r="Q606" s="24"/>
      <c r="R606" s="29"/>
      <c r="S606" s="29"/>
      <c r="T606" s="43"/>
      <c r="U606" s="29"/>
      <c r="V606" s="42"/>
      <c r="W606" s="29"/>
    </row>
    <row r="607" ht="15.75" customHeight="1">
      <c r="A607" s="29"/>
      <c r="B607" s="16"/>
      <c r="C607" s="29"/>
      <c r="D607" s="35"/>
      <c r="E607" s="35"/>
      <c r="F607" s="29"/>
      <c r="G607" s="19"/>
      <c r="H607" s="41"/>
      <c r="I607" s="25"/>
      <c r="J607" s="25"/>
      <c r="K607" s="41"/>
      <c r="L607" s="35"/>
      <c r="M607" s="35"/>
      <c r="N607" s="35"/>
      <c r="O607" s="26"/>
      <c r="P607" s="23"/>
      <c r="Q607" s="24"/>
      <c r="R607" s="29"/>
      <c r="S607" s="29"/>
      <c r="T607" s="43"/>
      <c r="U607" s="29"/>
      <c r="V607" s="42"/>
      <c r="W607" s="29"/>
    </row>
    <row r="608" ht="15.75" customHeight="1">
      <c r="A608" s="29"/>
      <c r="B608" s="16"/>
      <c r="C608" s="29"/>
      <c r="D608" s="35"/>
      <c r="E608" s="35"/>
      <c r="F608" s="29"/>
      <c r="G608" s="19"/>
      <c r="H608" s="41"/>
      <c r="I608" s="25"/>
      <c r="J608" s="25"/>
      <c r="K608" s="41"/>
      <c r="L608" s="35"/>
      <c r="M608" s="35"/>
      <c r="N608" s="35"/>
      <c r="O608" s="26"/>
      <c r="P608" s="23"/>
      <c r="Q608" s="24"/>
      <c r="R608" s="29"/>
      <c r="S608" s="29"/>
      <c r="T608" s="43"/>
      <c r="U608" s="29"/>
      <c r="V608" s="42"/>
      <c r="W608" s="29"/>
    </row>
    <row r="609" ht="15.75" customHeight="1">
      <c r="A609" s="29"/>
      <c r="B609" s="16"/>
      <c r="C609" s="29"/>
      <c r="D609" s="35"/>
      <c r="E609" s="35"/>
      <c r="F609" s="29"/>
      <c r="G609" s="19"/>
      <c r="H609" s="41"/>
      <c r="I609" s="25"/>
      <c r="J609" s="25"/>
      <c r="K609" s="41"/>
      <c r="L609" s="35"/>
      <c r="M609" s="35"/>
      <c r="N609" s="35"/>
      <c r="O609" s="26"/>
      <c r="P609" s="23"/>
      <c r="Q609" s="24"/>
      <c r="R609" s="29"/>
      <c r="S609" s="29"/>
      <c r="T609" s="43"/>
      <c r="U609" s="29"/>
      <c r="V609" s="42"/>
      <c r="W609" s="29"/>
    </row>
    <row r="610" ht="15.75" customHeight="1">
      <c r="A610" s="29"/>
      <c r="B610" s="16"/>
      <c r="C610" s="29"/>
      <c r="D610" s="35"/>
      <c r="E610" s="35"/>
      <c r="F610" s="29"/>
      <c r="G610" s="19"/>
      <c r="H610" s="41"/>
      <c r="I610" s="25"/>
      <c r="J610" s="25"/>
      <c r="K610" s="41"/>
      <c r="L610" s="35"/>
      <c r="M610" s="35"/>
      <c r="N610" s="35"/>
      <c r="O610" s="26"/>
      <c r="P610" s="23"/>
      <c r="Q610" s="24"/>
      <c r="R610" s="29"/>
      <c r="S610" s="29"/>
      <c r="T610" s="43"/>
      <c r="U610" s="29"/>
      <c r="V610" s="42"/>
      <c r="W610" s="29"/>
    </row>
    <row r="611" ht="15.75" customHeight="1">
      <c r="A611" s="29"/>
      <c r="B611" s="16"/>
      <c r="C611" s="29"/>
      <c r="D611" s="35"/>
      <c r="E611" s="35"/>
      <c r="F611" s="29"/>
      <c r="G611" s="19"/>
      <c r="H611" s="41"/>
      <c r="I611" s="25"/>
      <c r="J611" s="25"/>
      <c r="K611" s="41"/>
      <c r="L611" s="35"/>
      <c r="M611" s="35"/>
      <c r="N611" s="35"/>
      <c r="O611" s="26"/>
      <c r="P611" s="23"/>
      <c r="Q611" s="24"/>
      <c r="R611" s="29"/>
      <c r="S611" s="29"/>
      <c r="T611" s="43"/>
      <c r="U611" s="29"/>
      <c r="V611" s="42"/>
      <c r="W611" s="29"/>
    </row>
    <row r="612" ht="15.75" customHeight="1">
      <c r="A612" s="29"/>
      <c r="B612" s="16"/>
      <c r="C612" s="29"/>
      <c r="D612" s="35"/>
      <c r="E612" s="35"/>
      <c r="F612" s="29"/>
      <c r="G612" s="19"/>
      <c r="H612" s="41"/>
      <c r="I612" s="25"/>
      <c r="J612" s="25"/>
      <c r="K612" s="41"/>
      <c r="L612" s="35"/>
      <c r="M612" s="35"/>
      <c r="N612" s="35"/>
      <c r="O612" s="26"/>
      <c r="P612" s="23"/>
      <c r="Q612" s="24"/>
      <c r="R612" s="29"/>
      <c r="S612" s="29"/>
      <c r="T612" s="43"/>
      <c r="U612" s="29"/>
      <c r="V612" s="42"/>
      <c r="W612" s="29"/>
    </row>
    <row r="613" ht="15.75" customHeight="1">
      <c r="A613" s="29"/>
      <c r="B613" s="16"/>
      <c r="C613" s="29"/>
      <c r="D613" s="35"/>
      <c r="E613" s="35"/>
      <c r="F613" s="29"/>
      <c r="G613" s="19"/>
      <c r="H613" s="41"/>
      <c r="I613" s="25"/>
      <c r="J613" s="25"/>
      <c r="K613" s="41"/>
      <c r="L613" s="35"/>
      <c r="M613" s="35"/>
      <c r="N613" s="35"/>
      <c r="O613" s="26"/>
      <c r="P613" s="23"/>
      <c r="Q613" s="24"/>
      <c r="R613" s="29"/>
      <c r="S613" s="29"/>
      <c r="T613" s="43"/>
      <c r="U613" s="29"/>
      <c r="V613" s="42"/>
      <c r="W613" s="29"/>
    </row>
    <row r="614" ht="15.75" customHeight="1">
      <c r="A614" s="29"/>
      <c r="B614" s="16"/>
      <c r="C614" s="29"/>
      <c r="D614" s="35"/>
      <c r="E614" s="35"/>
      <c r="F614" s="29"/>
      <c r="G614" s="19"/>
      <c r="H614" s="41"/>
      <c r="I614" s="25"/>
      <c r="J614" s="25"/>
      <c r="K614" s="41"/>
      <c r="L614" s="35"/>
      <c r="M614" s="35"/>
      <c r="N614" s="35"/>
      <c r="O614" s="26"/>
      <c r="P614" s="23"/>
      <c r="Q614" s="24"/>
      <c r="R614" s="29"/>
      <c r="S614" s="29"/>
      <c r="T614" s="43"/>
      <c r="U614" s="29"/>
      <c r="V614" s="42"/>
      <c r="W614" s="29"/>
    </row>
    <row r="615" ht="15.75" customHeight="1">
      <c r="A615" s="29"/>
      <c r="B615" s="16"/>
      <c r="C615" s="29"/>
      <c r="D615" s="35"/>
      <c r="E615" s="35"/>
      <c r="F615" s="29"/>
      <c r="G615" s="19"/>
      <c r="H615" s="41"/>
      <c r="I615" s="25"/>
      <c r="J615" s="25"/>
      <c r="K615" s="41"/>
      <c r="L615" s="35"/>
      <c r="M615" s="35"/>
      <c r="N615" s="35"/>
      <c r="O615" s="26"/>
      <c r="P615" s="23"/>
      <c r="Q615" s="24"/>
      <c r="R615" s="29"/>
      <c r="S615" s="29"/>
      <c r="T615" s="43"/>
      <c r="U615" s="29"/>
      <c r="V615" s="42"/>
      <c r="W615" s="29"/>
    </row>
    <row r="616" ht="15.75" customHeight="1">
      <c r="A616" s="29"/>
      <c r="B616" s="16"/>
      <c r="C616" s="29"/>
      <c r="D616" s="35"/>
      <c r="E616" s="35"/>
      <c r="F616" s="29"/>
      <c r="G616" s="19"/>
      <c r="H616" s="41"/>
      <c r="I616" s="25"/>
      <c r="J616" s="25"/>
      <c r="K616" s="41"/>
      <c r="L616" s="35"/>
      <c r="M616" s="35"/>
      <c r="N616" s="35"/>
      <c r="O616" s="26"/>
      <c r="P616" s="23"/>
      <c r="Q616" s="24"/>
      <c r="R616" s="29"/>
      <c r="S616" s="29"/>
      <c r="T616" s="43"/>
      <c r="U616" s="29"/>
      <c r="V616" s="42"/>
      <c r="W616" s="29"/>
    </row>
    <row r="617" ht="15.75" customHeight="1">
      <c r="A617" s="29"/>
      <c r="B617" s="16"/>
      <c r="C617" s="29"/>
      <c r="D617" s="35"/>
      <c r="E617" s="35"/>
      <c r="F617" s="29"/>
      <c r="G617" s="19"/>
      <c r="H617" s="41"/>
      <c r="I617" s="25"/>
      <c r="J617" s="25"/>
      <c r="K617" s="41"/>
      <c r="L617" s="35"/>
      <c r="M617" s="35"/>
      <c r="N617" s="35"/>
      <c r="O617" s="26"/>
      <c r="P617" s="23"/>
      <c r="Q617" s="24"/>
      <c r="R617" s="29"/>
      <c r="S617" s="29"/>
      <c r="T617" s="43"/>
      <c r="U617" s="29"/>
      <c r="V617" s="42"/>
      <c r="W617" s="29"/>
    </row>
    <row r="618" ht="15.75" customHeight="1">
      <c r="A618" s="29"/>
      <c r="B618" s="16"/>
      <c r="C618" s="29"/>
      <c r="D618" s="35"/>
      <c r="E618" s="35"/>
      <c r="F618" s="29"/>
      <c r="G618" s="19"/>
      <c r="H618" s="41"/>
      <c r="I618" s="25"/>
      <c r="J618" s="25"/>
      <c r="K618" s="41"/>
      <c r="L618" s="35"/>
      <c r="M618" s="35"/>
      <c r="N618" s="35"/>
      <c r="O618" s="26"/>
      <c r="P618" s="23"/>
      <c r="Q618" s="24"/>
      <c r="R618" s="29"/>
      <c r="S618" s="29"/>
      <c r="T618" s="43"/>
      <c r="U618" s="29"/>
      <c r="V618" s="42"/>
      <c r="W618" s="29"/>
    </row>
    <row r="619" ht="15.75" customHeight="1">
      <c r="A619" s="29"/>
      <c r="B619" s="16"/>
      <c r="C619" s="29"/>
      <c r="D619" s="35"/>
      <c r="E619" s="35"/>
      <c r="F619" s="29"/>
      <c r="G619" s="19"/>
      <c r="H619" s="41"/>
      <c r="I619" s="25"/>
      <c r="J619" s="25"/>
      <c r="K619" s="41"/>
      <c r="L619" s="35"/>
      <c r="M619" s="35"/>
      <c r="N619" s="35"/>
      <c r="O619" s="26"/>
      <c r="P619" s="23"/>
      <c r="Q619" s="24"/>
      <c r="R619" s="29"/>
      <c r="S619" s="29"/>
      <c r="T619" s="43"/>
      <c r="U619" s="29"/>
      <c r="V619" s="42"/>
      <c r="W619" s="29"/>
    </row>
    <row r="620" ht="15.75" customHeight="1">
      <c r="A620" s="29"/>
      <c r="B620" s="16"/>
      <c r="C620" s="29"/>
      <c r="D620" s="35"/>
      <c r="E620" s="35"/>
      <c r="F620" s="29"/>
      <c r="G620" s="19"/>
      <c r="H620" s="41"/>
      <c r="I620" s="25"/>
      <c r="J620" s="25"/>
      <c r="K620" s="41"/>
      <c r="L620" s="35"/>
      <c r="M620" s="35"/>
      <c r="N620" s="35"/>
      <c r="O620" s="26"/>
      <c r="P620" s="23"/>
      <c r="Q620" s="24"/>
      <c r="R620" s="29"/>
      <c r="S620" s="29"/>
      <c r="T620" s="43"/>
      <c r="U620" s="29"/>
      <c r="V620" s="42"/>
      <c r="W620" s="29"/>
    </row>
    <row r="621" ht="15.75" customHeight="1">
      <c r="A621" s="29"/>
      <c r="B621" s="16"/>
      <c r="C621" s="29"/>
      <c r="D621" s="35"/>
      <c r="E621" s="35"/>
      <c r="F621" s="29"/>
      <c r="G621" s="19"/>
      <c r="H621" s="41"/>
      <c r="I621" s="25"/>
      <c r="J621" s="25"/>
      <c r="K621" s="41"/>
      <c r="L621" s="35"/>
      <c r="M621" s="35"/>
      <c r="N621" s="35"/>
      <c r="O621" s="26"/>
      <c r="P621" s="23"/>
      <c r="Q621" s="24"/>
      <c r="R621" s="29"/>
      <c r="S621" s="29"/>
      <c r="T621" s="43"/>
      <c r="U621" s="29"/>
      <c r="V621" s="42"/>
      <c r="W621" s="29"/>
    </row>
    <row r="622" ht="15.75" customHeight="1">
      <c r="A622" s="29"/>
      <c r="B622" s="16"/>
      <c r="C622" s="29"/>
      <c r="D622" s="35"/>
      <c r="E622" s="35"/>
      <c r="F622" s="29"/>
      <c r="G622" s="19"/>
      <c r="H622" s="41"/>
      <c r="I622" s="25"/>
      <c r="J622" s="25"/>
      <c r="K622" s="41"/>
      <c r="L622" s="35"/>
      <c r="M622" s="35"/>
      <c r="N622" s="35"/>
      <c r="O622" s="26"/>
      <c r="P622" s="23"/>
      <c r="Q622" s="24"/>
      <c r="R622" s="29"/>
      <c r="S622" s="29"/>
      <c r="T622" s="43"/>
      <c r="U622" s="29"/>
      <c r="V622" s="42"/>
      <c r="W622" s="29"/>
    </row>
    <row r="623" ht="15.75" customHeight="1">
      <c r="A623" s="29"/>
      <c r="B623" s="16"/>
      <c r="C623" s="29"/>
      <c r="D623" s="35"/>
      <c r="E623" s="35"/>
      <c r="F623" s="29"/>
      <c r="G623" s="19"/>
      <c r="H623" s="41"/>
      <c r="I623" s="25"/>
      <c r="J623" s="25"/>
      <c r="K623" s="41"/>
      <c r="L623" s="35"/>
      <c r="M623" s="35"/>
      <c r="N623" s="35"/>
      <c r="O623" s="26"/>
      <c r="P623" s="23"/>
      <c r="Q623" s="24"/>
      <c r="R623" s="29"/>
      <c r="S623" s="29"/>
      <c r="T623" s="43"/>
      <c r="U623" s="29"/>
      <c r="V623" s="42"/>
      <c r="W623" s="29"/>
    </row>
    <row r="624" ht="15.75" customHeight="1">
      <c r="A624" s="29"/>
      <c r="B624" s="16"/>
      <c r="C624" s="29"/>
      <c r="D624" s="35"/>
      <c r="E624" s="35"/>
      <c r="F624" s="29"/>
      <c r="G624" s="19"/>
      <c r="H624" s="41"/>
      <c r="I624" s="25"/>
      <c r="J624" s="25"/>
      <c r="K624" s="41"/>
      <c r="L624" s="35"/>
      <c r="M624" s="35"/>
      <c r="N624" s="35"/>
      <c r="O624" s="26"/>
      <c r="P624" s="23"/>
      <c r="Q624" s="24"/>
      <c r="R624" s="29"/>
      <c r="S624" s="29"/>
      <c r="T624" s="43"/>
      <c r="U624" s="29"/>
      <c r="V624" s="42"/>
      <c r="W624" s="29"/>
    </row>
    <row r="625" ht="15.75" customHeight="1">
      <c r="A625" s="29"/>
      <c r="B625" s="16"/>
      <c r="C625" s="29"/>
      <c r="D625" s="35"/>
      <c r="E625" s="35"/>
      <c r="F625" s="29"/>
      <c r="G625" s="19"/>
      <c r="H625" s="41"/>
      <c r="I625" s="25"/>
      <c r="J625" s="25"/>
      <c r="K625" s="41"/>
      <c r="L625" s="35"/>
      <c r="M625" s="35"/>
      <c r="N625" s="35"/>
      <c r="O625" s="26"/>
      <c r="P625" s="23"/>
      <c r="Q625" s="24"/>
      <c r="R625" s="29"/>
      <c r="S625" s="29"/>
      <c r="T625" s="43"/>
      <c r="U625" s="29"/>
      <c r="V625" s="42"/>
      <c r="W625" s="29"/>
    </row>
    <row r="626" ht="15.75" customHeight="1">
      <c r="A626" s="29"/>
      <c r="B626" s="16"/>
      <c r="C626" s="29"/>
      <c r="D626" s="35"/>
      <c r="E626" s="35"/>
      <c r="F626" s="29"/>
      <c r="G626" s="19"/>
      <c r="H626" s="41"/>
      <c r="I626" s="25"/>
      <c r="J626" s="25"/>
      <c r="K626" s="41"/>
      <c r="L626" s="35"/>
      <c r="M626" s="35"/>
      <c r="N626" s="35"/>
      <c r="O626" s="26"/>
      <c r="P626" s="23"/>
      <c r="Q626" s="24"/>
      <c r="R626" s="29"/>
      <c r="S626" s="29"/>
      <c r="T626" s="43"/>
      <c r="U626" s="29"/>
      <c r="V626" s="42"/>
      <c r="W626" s="29"/>
    </row>
    <row r="627" ht="15.75" customHeight="1">
      <c r="A627" s="29"/>
      <c r="B627" s="16"/>
      <c r="C627" s="29"/>
      <c r="D627" s="35"/>
      <c r="E627" s="35"/>
      <c r="F627" s="29"/>
      <c r="G627" s="19"/>
      <c r="H627" s="41"/>
      <c r="I627" s="25"/>
      <c r="J627" s="25"/>
      <c r="K627" s="41"/>
      <c r="L627" s="35"/>
      <c r="M627" s="35"/>
      <c r="N627" s="35"/>
      <c r="O627" s="26"/>
      <c r="P627" s="23"/>
      <c r="Q627" s="24"/>
      <c r="R627" s="29"/>
      <c r="S627" s="29"/>
      <c r="T627" s="43"/>
      <c r="U627" s="29"/>
      <c r="V627" s="42"/>
      <c r="W627" s="29"/>
    </row>
    <row r="628" ht="15.75" customHeight="1">
      <c r="A628" s="29"/>
      <c r="B628" s="16"/>
      <c r="C628" s="29"/>
      <c r="D628" s="35"/>
      <c r="E628" s="35"/>
      <c r="F628" s="29"/>
      <c r="G628" s="19"/>
      <c r="H628" s="41"/>
      <c r="I628" s="25"/>
      <c r="J628" s="25"/>
      <c r="K628" s="41"/>
      <c r="L628" s="35"/>
      <c r="M628" s="35"/>
      <c r="N628" s="35"/>
      <c r="O628" s="26"/>
      <c r="P628" s="23"/>
      <c r="Q628" s="24"/>
      <c r="R628" s="29"/>
      <c r="S628" s="29"/>
      <c r="T628" s="43"/>
      <c r="U628" s="29"/>
      <c r="V628" s="42"/>
      <c r="W628" s="29"/>
    </row>
    <row r="629" ht="15.75" customHeight="1">
      <c r="A629" s="29"/>
      <c r="B629" s="16"/>
      <c r="C629" s="29"/>
      <c r="D629" s="35"/>
      <c r="E629" s="35"/>
      <c r="F629" s="29"/>
      <c r="G629" s="19"/>
      <c r="H629" s="41"/>
      <c r="I629" s="25"/>
      <c r="J629" s="25"/>
      <c r="K629" s="41"/>
      <c r="L629" s="35"/>
      <c r="M629" s="35"/>
      <c r="N629" s="35"/>
      <c r="O629" s="26"/>
      <c r="P629" s="23"/>
      <c r="Q629" s="24"/>
      <c r="R629" s="29"/>
      <c r="S629" s="29"/>
      <c r="T629" s="43"/>
      <c r="U629" s="29"/>
      <c r="V629" s="42"/>
      <c r="W629" s="29"/>
    </row>
    <row r="630" ht="15.75" customHeight="1">
      <c r="A630" s="29"/>
      <c r="B630" s="16"/>
      <c r="C630" s="29"/>
      <c r="D630" s="35"/>
      <c r="E630" s="35"/>
      <c r="F630" s="29"/>
      <c r="G630" s="19"/>
      <c r="H630" s="41"/>
      <c r="I630" s="25"/>
      <c r="J630" s="25"/>
      <c r="K630" s="41"/>
      <c r="L630" s="35"/>
      <c r="M630" s="35"/>
      <c r="N630" s="35"/>
      <c r="O630" s="26"/>
      <c r="P630" s="23"/>
      <c r="Q630" s="24"/>
      <c r="R630" s="29"/>
      <c r="S630" s="29"/>
      <c r="T630" s="43"/>
      <c r="U630" s="29"/>
      <c r="V630" s="42"/>
      <c r="W630" s="29"/>
    </row>
    <row r="631" ht="15.75" customHeight="1">
      <c r="A631" s="29"/>
      <c r="B631" s="16"/>
      <c r="C631" s="29"/>
      <c r="D631" s="35"/>
      <c r="E631" s="35"/>
      <c r="F631" s="29"/>
      <c r="G631" s="19"/>
      <c r="H631" s="41"/>
      <c r="I631" s="25"/>
      <c r="J631" s="25"/>
      <c r="K631" s="41"/>
      <c r="L631" s="35"/>
      <c r="M631" s="35"/>
      <c r="N631" s="35"/>
      <c r="O631" s="26"/>
      <c r="P631" s="23"/>
      <c r="Q631" s="24"/>
      <c r="R631" s="29"/>
      <c r="S631" s="29"/>
      <c r="T631" s="43"/>
      <c r="U631" s="29"/>
      <c r="V631" s="42"/>
      <c r="W631" s="29"/>
    </row>
    <row r="632" ht="15.75" customHeight="1">
      <c r="A632" s="29"/>
      <c r="B632" s="16"/>
      <c r="C632" s="29"/>
      <c r="D632" s="35"/>
      <c r="E632" s="35"/>
      <c r="F632" s="29"/>
      <c r="G632" s="19"/>
      <c r="H632" s="41"/>
      <c r="I632" s="25"/>
      <c r="J632" s="25"/>
      <c r="K632" s="41"/>
      <c r="L632" s="35"/>
      <c r="M632" s="35"/>
      <c r="N632" s="35"/>
      <c r="O632" s="26"/>
      <c r="P632" s="23"/>
      <c r="Q632" s="24"/>
      <c r="R632" s="29"/>
      <c r="S632" s="29"/>
      <c r="T632" s="43"/>
      <c r="U632" s="29"/>
      <c r="V632" s="42"/>
      <c r="W632" s="29"/>
    </row>
    <row r="633" ht="15.75" customHeight="1">
      <c r="A633" s="29"/>
      <c r="B633" s="16"/>
      <c r="C633" s="29"/>
      <c r="D633" s="35"/>
      <c r="E633" s="35"/>
      <c r="F633" s="29"/>
      <c r="G633" s="19"/>
      <c r="H633" s="41"/>
      <c r="I633" s="25"/>
      <c r="J633" s="25"/>
      <c r="K633" s="41"/>
      <c r="L633" s="35"/>
      <c r="M633" s="35"/>
      <c r="N633" s="35"/>
      <c r="O633" s="26"/>
      <c r="P633" s="23"/>
      <c r="Q633" s="24"/>
      <c r="R633" s="29"/>
      <c r="S633" s="29"/>
      <c r="T633" s="43"/>
      <c r="U633" s="29"/>
      <c r="V633" s="42"/>
      <c r="W633" s="29"/>
    </row>
    <row r="634" ht="15.75" customHeight="1">
      <c r="A634" s="29"/>
      <c r="B634" s="16"/>
      <c r="C634" s="29"/>
      <c r="D634" s="35"/>
      <c r="E634" s="35"/>
      <c r="F634" s="29"/>
      <c r="G634" s="19"/>
      <c r="H634" s="41"/>
      <c r="I634" s="25"/>
      <c r="J634" s="25"/>
      <c r="K634" s="41"/>
      <c r="L634" s="35"/>
      <c r="M634" s="35"/>
      <c r="N634" s="35"/>
      <c r="O634" s="26"/>
      <c r="P634" s="23"/>
      <c r="Q634" s="24"/>
      <c r="R634" s="29"/>
      <c r="S634" s="29"/>
      <c r="T634" s="43"/>
      <c r="U634" s="29"/>
      <c r="V634" s="42"/>
      <c r="W634" s="29"/>
    </row>
    <row r="635" ht="15.75" customHeight="1">
      <c r="A635" s="29"/>
      <c r="B635" s="16"/>
      <c r="C635" s="29"/>
      <c r="D635" s="35"/>
      <c r="E635" s="35"/>
      <c r="F635" s="29"/>
      <c r="G635" s="19"/>
      <c r="H635" s="41"/>
      <c r="I635" s="25"/>
      <c r="J635" s="25"/>
      <c r="K635" s="41"/>
      <c r="L635" s="35"/>
      <c r="M635" s="35"/>
      <c r="N635" s="35"/>
      <c r="O635" s="26"/>
      <c r="P635" s="23"/>
      <c r="Q635" s="24"/>
      <c r="R635" s="29"/>
      <c r="S635" s="29"/>
      <c r="T635" s="43"/>
      <c r="U635" s="29"/>
      <c r="V635" s="42"/>
      <c r="W635" s="29"/>
    </row>
    <row r="636" ht="15.75" customHeight="1">
      <c r="A636" s="29"/>
      <c r="B636" s="16"/>
      <c r="C636" s="29"/>
      <c r="D636" s="35"/>
      <c r="E636" s="35"/>
      <c r="F636" s="29"/>
      <c r="G636" s="19"/>
      <c r="H636" s="41"/>
      <c r="I636" s="25"/>
      <c r="J636" s="25"/>
      <c r="K636" s="41"/>
      <c r="L636" s="35"/>
      <c r="M636" s="35"/>
      <c r="N636" s="35"/>
      <c r="O636" s="26"/>
      <c r="P636" s="23"/>
      <c r="Q636" s="24"/>
      <c r="R636" s="29"/>
      <c r="S636" s="29"/>
      <c r="T636" s="43"/>
      <c r="U636" s="29"/>
      <c r="V636" s="42"/>
      <c r="W636" s="29"/>
    </row>
    <row r="637" ht="15.75" customHeight="1">
      <c r="A637" s="29"/>
      <c r="B637" s="16"/>
      <c r="C637" s="29"/>
      <c r="D637" s="35"/>
      <c r="E637" s="35"/>
      <c r="F637" s="29"/>
      <c r="G637" s="19"/>
      <c r="H637" s="41"/>
      <c r="I637" s="25"/>
      <c r="J637" s="25"/>
      <c r="K637" s="41"/>
      <c r="L637" s="35"/>
      <c r="M637" s="35"/>
      <c r="N637" s="35"/>
      <c r="O637" s="26"/>
      <c r="P637" s="23"/>
      <c r="Q637" s="24"/>
      <c r="R637" s="29"/>
      <c r="S637" s="29"/>
      <c r="T637" s="43"/>
      <c r="U637" s="29"/>
      <c r="V637" s="42"/>
      <c r="W637" s="29"/>
    </row>
    <row r="638" ht="15.75" customHeight="1">
      <c r="A638" s="29"/>
      <c r="B638" s="16"/>
      <c r="C638" s="29"/>
      <c r="D638" s="35"/>
      <c r="E638" s="35"/>
      <c r="F638" s="29"/>
      <c r="G638" s="19"/>
      <c r="H638" s="41"/>
      <c r="I638" s="25"/>
      <c r="J638" s="25"/>
      <c r="K638" s="41"/>
      <c r="L638" s="35"/>
      <c r="M638" s="35"/>
      <c r="N638" s="35"/>
      <c r="O638" s="26"/>
      <c r="P638" s="23"/>
      <c r="Q638" s="24"/>
      <c r="R638" s="29"/>
      <c r="S638" s="29"/>
      <c r="T638" s="43"/>
      <c r="U638" s="29"/>
      <c r="V638" s="42"/>
      <c r="W638" s="29"/>
    </row>
    <row r="639" ht="15.75" customHeight="1">
      <c r="A639" s="29"/>
      <c r="B639" s="16"/>
      <c r="C639" s="29"/>
      <c r="D639" s="35"/>
      <c r="E639" s="35"/>
      <c r="F639" s="29"/>
      <c r="G639" s="19"/>
      <c r="H639" s="41"/>
      <c r="I639" s="25"/>
      <c r="J639" s="25"/>
      <c r="K639" s="41"/>
      <c r="L639" s="35"/>
      <c r="M639" s="35"/>
      <c r="N639" s="35"/>
      <c r="O639" s="26"/>
      <c r="P639" s="23"/>
      <c r="Q639" s="24"/>
      <c r="R639" s="29"/>
      <c r="S639" s="29"/>
      <c r="T639" s="43"/>
      <c r="U639" s="29"/>
      <c r="V639" s="42"/>
      <c r="W639" s="29"/>
    </row>
    <row r="640" ht="15.75" customHeight="1">
      <c r="A640" s="29"/>
      <c r="B640" s="16"/>
      <c r="C640" s="29"/>
      <c r="D640" s="35"/>
      <c r="E640" s="35"/>
      <c r="F640" s="29"/>
      <c r="G640" s="19"/>
      <c r="H640" s="41"/>
      <c r="I640" s="25"/>
      <c r="J640" s="25"/>
      <c r="K640" s="41"/>
      <c r="L640" s="35"/>
      <c r="M640" s="35"/>
      <c r="N640" s="35"/>
      <c r="O640" s="26"/>
      <c r="P640" s="23"/>
      <c r="Q640" s="24"/>
      <c r="R640" s="29"/>
      <c r="S640" s="29"/>
      <c r="T640" s="43"/>
      <c r="U640" s="29"/>
      <c r="V640" s="42"/>
      <c r="W640" s="29"/>
    </row>
    <row r="641" ht="15.75" customHeight="1">
      <c r="A641" s="29"/>
      <c r="B641" s="16"/>
      <c r="C641" s="29"/>
      <c r="D641" s="35"/>
      <c r="E641" s="35"/>
      <c r="F641" s="29"/>
      <c r="G641" s="19"/>
      <c r="H641" s="41"/>
      <c r="I641" s="25"/>
      <c r="J641" s="25"/>
      <c r="K641" s="41"/>
      <c r="L641" s="35"/>
      <c r="M641" s="35"/>
      <c r="N641" s="35"/>
      <c r="O641" s="26"/>
      <c r="P641" s="23"/>
      <c r="Q641" s="24"/>
      <c r="R641" s="29"/>
      <c r="S641" s="29"/>
      <c r="T641" s="43"/>
      <c r="U641" s="29"/>
      <c r="V641" s="42"/>
      <c r="W641" s="29"/>
    </row>
    <row r="642" ht="15.75" customHeight="1">
      <c r="A642" s="29"/>
      <c r="B642" s="16"/>
      <c r="C642" s="29"/>
      <c r="D642" s="35"/>
      <c r="E642" s="35"/>
      <c r="F642" s="29"/>
      <c r="G642" s="19"/>
      <c r="H642" s="41"/>
      <c r="I642" s="25"/>
      <c r="J642" s="25"/>
      <c r="K642" s="41"/>
      <c r="L642" s="35"/>
      <c r="M642" s="35"/>
      <c r="N642" s="35"/>
      <c r="O642" s="26"/>
      <c r="P642" s="23"/>
      <c r="Q642" s="24"/>
      <c r="R642" s="29"/>
      <c r="S642" s="29"/>
      <c r="T642" s="43"/>
      <c r="U642" s="29"/>
      <c r="V642" s="42"/>
      <c r="W642" s="29"/>
    </row>
    <row r="643" ht="15.75" customHeight="1">
      <c r="A643" s="29"/>
      <c r="B643" s="16"/>
      <c r="C643" s="29"/>
      <c r="D643" s="35"/>
      <c r="E643" s="35"/>
      <c r="F643" s="29"/>
      <c r="G643" s="19"/>
      <c r="H643" s="41"/>
      <c r="I643" s="25"/>
      <c r="J643" s="25"/>
      <c r="K643" s="41"/>
      <c r="L643" s="35"/>
      <c r="M643" s="35"/>
      <c r="N643" s="35"/>
      <c r="O643" s="26"/>
      <c r="P643" s="23"/>
      <c r="Q643" s="24"/>
      <c r="R643" s="29"/>
      <c r="S643" s="29"/>
      <c r="T643" s="43"/>
      <c r="U643" s="29"/>
      <c r="V643" s="42"/>
      <c r="W643" s="29"/>
    </row>
    <row r="644" ht="15.75" customHeight="1">
      <c r="A644" s="29"/>
      <c r="B644" s="16"/>
      <c r="C644" s="29"/>
      <c r="D644" s="35"/>
      <c r="E644" s="35"/>
      <c r="F644" s="29"/>
      <c r="G644" s="19"/>
      <c r="H644" s="41"/>
      <c r="I644" s="25"/>
      <c r="J644" s="25"/>
      <c r="K644" s="41"/>
      <c r="L644" s="35"/>
      <c r="M644" s="35"/>
      <c r="N644" s="35"/>
      <c r="O644" s="26"/>
      <c r="P644" s="23"/>
      <c r="Q644" s="24"/>
      <c r="R644" s="29"/>
      <c r="S644" s="29"/>
      <c r="T644" s="43"/>
      <c r="U644" s="29"/>
      <c r="V644" s="42"/>
      <c r="W644" s="29"/>
    </row>
    <row r="645" ht="15.75" customHeight="1">
      <c r="A645" s="29"/>
      <c r="B645" s="16"/>
      <c r="C645" s="29"/>
      <c r="D645" s="35"/>
      <c r="E645" s="35"/>
      <c r="F645" s="29"/>
      <c r="G645" s="19"/>
      <c r="H645" s="41"/>
      <c r="I645" s="25"/>
      <c r="J645" s="25"/>
      <c r="K645" s="41"/>
      <c r="L645" s="35"/>
      <c r="M645" s="35"/>
      <c r="N645" s="35"/>
      <c r="O645" s="26"/>
      <c r="P645" s="23"/>
      <c r="Q645" s="24"/>
      <c r="R645" s="29"/>
      <c r="S645" s="29"/>
      <c r="T645" s="43"/>
      <c r="U645" s="29"/>
      <c r="V645" s="42"/>
      <c r="W645" s="29"/>
    </row>
    <row r="646" ht="15.75" customHeight="1">
      <c r="A646" s="29"/>
      <c r="B646" s="16"/>
      <c r="C646" s="29"/>
      <c r="D646" s="35"/>
      <c r="E646" s="35"/>
      <c r="F646" s="29"/>
      <c r="G646" s="19"/>
      <c r="H646" s="41"/>
      <c r="I646" s="25"/>
      <c r="J646" s="25"/>
      <c r="K646" s="41"/>
      <c r="L646" s="35"/>
      <c r="M646" s="35"/>
      <c r="N646" s="35"/>
      <c r="O646" s="26"/>
      <c r="P646" s="23"/>
      <c r="Q646" s="24"/>
      <c r="R646" s="29"/>
      <c r="S646" s="29"/>
      <c r="T646" s="43"/>
      <c r="U646" s="29"/>
      <c r="V646" s="42"/>
      <c r="W646" s="29"/>
    </row>
    <row r="647" ht="15.75" customHeight="1">
      <c r="A647" s="29"/>
      <c r="B647" s="16"/>
      <c r="C647" s="29"/>
      <c r="D647" s="35"/>
      <c r="E647" s="35"/>
      <c r="F647" s="29"/>
      <c r="G647" s="19"/>
      <c r="H647" s="41"/>
      <c r="I647" s="25"/>
      <c r="J647" s="25"/>
      <c r="K647" s="41"/>
      <c r="L647" s="35"/>
      <c r="M647" s="35"/>
      <c r="N647" s="35"/>
      <c r="O647" s="26"/>
      <c r="P647" s="23"/>
      <c r="Q647" s="24"/>
      <c r="R647" s="29"/>
      <c r="S647" s="29"/>
      <c r="T647" s="43"/>
      <c r="U647" s="29"/>
      <c r="V647" s="42"/>
      <c r="W647" s="29"/>
    </row>
    <row r="648" ht="15.75" customHeight="1">
      <c r="A648" s="29"/>
      <c r="B648" s="16"/>
      <c r="C648" s="29"/>
      <c r="D648" s="35"/>
      <c r="E648" s="35"/>
      <c r="F648" s="29"/>
      <c r="G648" s="19"/>
      <c r="H648" s="41"/>
      <c r="I648" s="25"/>
      <c r="J648" s="25"/>
      <c r="K648" s="41"/>
      <c r="L648" s="35"/>
      <c r="M648" s="35"/>
      <c r="N648" s="35"/>
      <c r="O648" s="26"/>
      <c r="P648" s="23"/>
      <c r="Q648" s="24"/>
      <c r="R648" s="29"/>
      <c r="S648" s="29"/>
      <c r="T648" s="43"/>
      <c r="U648" s="29"/>
      <c r="V648" s="42"/>
      <c r="W648" s="29"/>
    </row>
    <row r="649" ht="15.75" customHeight="1">
      <c r="A649" s="29"/>
      <c r="B649" s="16"/>
      <c r="C649" s="29"/>
      <c r="D649" s="35"/>
      <c r="E649" s="35"/>
      <c r="F649" s="29"/>
      <c r="G649" s="19"/>
      <c r="H649" s="41"/>
      <c r="I649" s="25"/>
      <c r="J649" s="25"/>
      <c r="K649" s="41"/>
      <c r="L649" s="35"/>
      <c r="M649" s="35"/>
      <c r="N649" s="35"/>
      <c r="O649" s="26"/>
      <c r="P649" s="23"/>
      <c r="Q649" s="24"/>
      <c r="R649" s="29"/>
      <c r="S649" s="29"/>
      <c r="T649" s="43"/>
      <c r="U649" s="29"/>
      <c r="V649" s="42"/>
      <c r="W649" s="29"/>
    </row>
    <row r="650" ht="15.75" customHeight="1">
      <c r="A650" s="29"/>
      <c r="B650" s="16"/>
      <c r="C650" s="29"/>
      <c r="D650" s="35"/>
      <c r="E650" s="35"/>
      <c r="F650" s="29"/>
      <c r="G650" s="19"/>
      <c r="H650" s="41"/>
      <c r="I650" s="25"/>
      <c r="J650" s="25"/>
      <c r="K650" s="41"/>
      <c r="L650" s="35"/>
      <c r="M650" s="35"/>
      <c r="N650" s="35"/>
      <c r="O650" s="26"/>
      <c r="P650" s="23"/>
      <c r="Q650" s="24"/>
      <c r="R650" s="29"/>
      <c r="S650" s="29"/>
      <c r="T650" s="43"/>
      <c r="U650" s="29"/>
      <c r="V650" s="42"/>
      <c r="W650" s="29"/>
    </row>
    <row r="651" ht="15.75" customHeight="1">
      <c r="A651" s="29"/>
      <c r="B651" s="16"/>
      <c r="C651" s="29"/>
      <c r="D651" s="35"/>
      <c r="E651" s="35"/>
      <c r="F651" s="29"/>
      <c r="G651" s="19"/>
      <c r="H651" s="41"/>
      <c r="I651" s="25"/>
      <c r="J651" s="25"/>
      <c r="K651" s="41"/>
      <c r="L651" s="35"/>
      <c r="M651" s="35"/>
      <c r="N651" s="35"/>
      <c r="O651" s="26"/>
      <c r="P651" s="23"/>
      <c r="Q651" s="24"/>
      <c r="R651" s="29"/>
      <c r="S651" s="29"/>
      <c r="T651" s="43"/>
      <c r="U651" s="29"/>
      <c r="V651" s="42"/>
      <c r="W651" s="29"/>
    </row>
    <row r="652" ht="15.75" customHeight="1">
      <c r="A652" s="29"/>
      <c r="B652" s="16"/>
      <c r="C652" s="29"/>
      <c r="D652" s="35"/>
      <c r="E652" s="35"/>
      <c r="F652" s="29"/>
      <c r="G652" s="19"/>
      <c r="H652" s="41"/>
      <c r="I652" s="25"/>
      <c r="J652" s="25"/>
      <c r="K652" s="41"/>
      <c r="L652" s="35"/>
      <c r="M652" s="35"/>
      <c r="N652" s="35"/>
      <c r="O652" s="26"/>
      <c r="P652" s="23"/>
      <c r="Q652" s="24"/>
      <c r="R652" s="29"/>
      <c r="S652" s="29"/>
      <c r="T652" s="43"/>
      <c r="U652" s="29"/>
      <c r="V652" s="42"/>
      <c r="W652" s="29"/>
    </row>
    <row r="653" ht="15.75" customHeight="1">
      <c r="A653" s="29"/>
      <c r="B653" s="16"/>
      <c r="C653" s="29"/>
      <c r="D653" s="35"/>
      <c r="E653" s="35"/>
      <c r="F653" s="29"/>
      <c r="G653" s="19"/>
      <c r="H653" s="41"/>
      <c r="I653" s="25"/>
      <c r="J653" s="25"/>
      <c r="K653" s="41"/>
      <c r="L653" s="35"/>
      <c r="M653" s="35"/>
      <c r="N653" s="35"/>
      <c r="O653" s="26"/>
      <c r="P653" s="23"/>
      <c r="Q653" s="24"/>
      <c r="R653" s="29"/>
      <c r="S653" s="29"/>
      <c r="T653" s="43"/>
      <c r="U653" s="29"/>
      <c r="V653" s="42"/>
      <c r="W653" s="29"/>
    </row>
    <row r="654" ht="15.75" customHeight="1">
      <c r="A654" s="29"/>
      <c r="B654" s="16"/>
      <c r="C654" s="29"/>
      <c r="D654" s="35"/>
      <c r="E654" s="35"/>
      <c r="F654" s="29"/>
      <c r="G654" s="19"/>
      <c r="H654" s="41"/>
      <c r="I654" s="25"/>
      <c r="J654" s="25"/>
      <c r="K654" s="41"/>
      <c r="L654" s="35"/>
      <c r="M654" s="35"/>
      <c r="N654" s="35"/>
      <c r="O654" s="26"/>
      <c r="P654" s="23"/>
      <c r="Q654" s="24"/>
      <c r="R654" s="29"/>
      <c r="S654" s="29"/>
      <c r="T654" s="43"/>
      <c r="U654" s="29"/>
      <c r="V654" s="42"/>
      <c r="W654" s="29"/>
    </row>
    <row r="655" ht="15.75" customHeight="1">
      <c r="A655" s="29"/>
      <c r="B655" s="16"/>
      <c r="C655" s="29"/>
      <c r="D655" s="35"/>
      <c r="E655" s="35"/>
      <c r="F655" s="29"/>
      <c r="G655" s="19"/>
      <c r="H655" s="41"/>
      <c r="I655" s="25"/>
      <c r="J655" s="25"/>
      <c r="K655" s="41"/>
      <c r="L655" s="35"/>
      <c r="M655" s="35"/>
      <c r="N655" s="35"/>
      <c r="O655" s="26"/>
      <c r="P655" s="23"/>
      <c r="Q655" s="24"/>
      <c r="R655" s="29"/>
      <c r="S655" s="29"/>
      <c r="T655" s="43"/>
      <c r="U655" s="29"/>
      <c r="V655" s="42"/>
      <c r="W655" s="29"/>
    </row>
    <row r="656" ht="15.75" customHeight="1">
      <c r="A656" s="29"/>
      <c r="B656" s="16"/>
      <c r="C656" s="29"/>
      <c r="D656" s="35"/>
      <c r="E656" s="35"/>
      <c r="F656" s="29"/>
      <c r="G656" s="19"/>
      <c r="H656" s="41"/>
      <c r="I656" s="25"/>
      <c r="J656" s="25"/>
      <c r="K656" s="41"/>
      <c r="L656" s="35"/>
      <c r="M656" s="35"/>
      <c r="N656" s="35"/>
      <c r="O656" s="26"/>
      <c r="P656" s="23"/>
      <c r="Q656" s="24"/>
      <c r="R656" s="29"/>
      <c r="S656" s="29"/>
      <c r="T656" s="43"/>
      <c r="U656" s="29"/>
      <c r="V656" s="42"/>
      <c r="W656" s="29"/>
    </row>
    <row r="657" ht="15.75" customHeight="1">
      <c r="A657" s="29"/>
      <c r="B657" s="16"/>
      <c r="C657" s="29"/>
      <c r="D657" s="35"/>
      <c r="E657" s="35"/>
      <c r="F657" s="29"/>
      <c r="G657" s="19"/>
      <c r="H657" s="41"/>
      <c r="I657" s="25"/>
      <c r="J657" s="25"/>
      <c r="K657" s="41"/>
      <c r="L657" s="35"/>
      <c r="M657" s="35"/>
      <c r="N657" s="35"/>
      <c r="O657" s="26"/>
      <c r="P657" s="23"/>
      <c r="Q657" s="24"/>
      <c r="R657" s="29"/>
      <c r="S657" s="29"/>
      <c r="T657" s="43"/>
      <c r="U657" s="29"/>
      <c r="V657" s="42"/>
      <c r="W657" s="29"/>
    </row>
    <row r="658" ht="15.75" customHeight="1">
      <c r="A658" s="29"/>
      <c r="B658" s="16"/>
      <c r="C658" s="29"/>
      <c r="D658" s="35"/>
      <c r="E658" s="35"/>
      <c r="F658" s="29"/>
      <c r="G658" s="19"/>
      <c r="H658" s="41"/>
      <c r="I658" s="25"/>
      <c r="J658" s="25"/>
      <c r="K658" s="41"/>
      <c r="L658" s="35"/>
      <c r="M658" s="35"/>
      <c r="N658" s="35"/>
      <c r="O658" s="26"/>
      <c r="P658" s="23"/>
      <c r="Q658" s="24"/>
      <c r="R658" s="29"/>
      <c r="S658" s="29"/>
      <c r="T658" s="43"/>
      <c r="U658" s="29"/>
      <c r="V658" s="42"/>
      <c r="W658" s="29"/>
    </row>
    <row r="659" ht="15.75" customHeight="1">
      <c r="A659" s="29"/>
      <c r="B659" s="16"/>
      <c r="C659" s="29"/>
      <c r="D659" s="35"/>
      <c r="E659" s="35"/>
      <c r="F659" s="29"/>
      <c r="G659" s="19"/>
      <c r="H659" s="41"/>
      <c r="I659" s="25"/>
      <c r="J659" s="25"/>
      <c r="K659" s="41"/>
      <c r="L659" s="35"/>
      <c r="M659" s="35"/>
      <c r="N659" s="35"/>
      <c r="O659" s="26"/>
      <c r="P659" s="23"/>
      <c r="Q659" s="24"/>
      <c r="R659" s="29"/>
      <c r="S659" s="29"/>
      <c r="T659" s="43"/>
      <c r="U659" s="29"/>
      <c r="V659" s="42"/>
      <c r="W659" s="29"/>
    </row>
    <row r="660" ht="15.75" customHeight="1">
      <c r="A660" s="29"/>
      <c r="B660" s="16"/>
      <c r="C660" s="29"/>
      <c r="D660" s="35"/>
      <c r="E660" s="35"/>
      <c r="F660" s="29"/>
      <c r="G660" s="19"/>
      <c r="H660" s="41"/>
      <c r="I660" s="25"/>
      <c r="J660" s="25"/>
      <c r="K660" s="41"/>
      <c r="L660" s="35"/>
      <c r="M660" s="35"/>
      <c r="N660" s="35"/>
      <c r="O660" s="26"/>
      <c r="P660" s="23"/>
      <c r="Q660" s="24"/>
      <c r="R660" s="29"/>
      <c r="S660" s="29"/>
      <c r="T660" s="43"/>
      <c r="U660" s="29"/>
      <c r="V660" s="42"/>
      <c r="W660" s="29"/>
    </row>
    <row r="661" ht="15.75" customHeight="1">
      <c r="A661" s="29"/>
      <c r="B661" s="16"/>
      <c r="C661" s="29"/>
      <c r="D661" s="35"/>
      <c r="E661" s="35"/>
      <c r="F661" s="29"/>
      <c r="G661" s="19"/>
      <c r="H661" s="41"/>
      <c r="I661" s="25"/>
      <c r="J661" s="25"/>
      <c r="K661" s="41"/>
      <c r="L661" s="35"/>
      <c r="M661" s="35"/>
      <c r="N661" s="35"/>
      <c r="O661" s="26"/>
      <c r="P661" s="23"/>
      <c r="Q661" s="24"/>
      <c r="R661" s="29"/>
      <c r="S661" s="29"/>
      <c r="T661" s="43"/>
      <c r="U661" s="29"/>
      <c r="V661" s="42"/>
      <c r="W661" s="29"/>
    </row>
    <row r="662" ht="15.75" customHeight="1">
      <c r="A662" s="29"/>
      <c r="B662" s="16"/>
      <c r="C662" s="29"/>
      <c r="D662" s="35"/>
      <c r="E662" s="35"/>
      <c r="F662" s="29"/>
      <c r="G662" s="19"/>
      <c r="H662" s="41"/>
      <c r="I662" s="25"/>
      <c r="J662" s="25"/>
      <c r="K662" s="41"/>
      <c r="L662" s="35"/>
      <c r="M662" s="35"/>
      <c r="N662" s="35"/>
      <c r="O662" s="26"/>
      <c r="P662" s="23"/>
      <c r="Q662" s="24"/>
      <c r="R662" s="29"/>
      <c r="S662" s="29"/>
      <c r="T662" s="43"/>
      <c r="U662" s="29"/>
      <c r="V662" s="42"/>
      <c r="W662" s="29"/>
    </row>
    <row r="663" ht="15.75" customHeight="1">
      <c r="A663" s="29"/>
      <c r="B663" s="16"/>
      <c r="C663" s="29"/>
      <c r="D663" s="35"/>
      <c r="E663" s="35"/>
      <c r="F663" s="29"/>
      <c r="G663" s="19"/>
      <c r="H663" s="41"/>
      <c r="I663" s="25"/>
      <c r="J663" s="25"/>
      <c r="K663" s="41"/>
      <c r="L663" s="35"/>
      <c r="M663" s="35"/>
      <c r="N663" s="35"/>
      <c r="O663" s="26"/>
      <c r="P663" s="23"/>
      <c r="Q663" s="24"/>
      <c r="R663" s="29"/>
      <c r="S663" s="29"/>
      <c r="T663" s="43"/>
      <c r="U663" s="29"/>
      <c r="V663" s="42"/>
      <c r="W663" s="29"/>
    </row>
    <row r="664" ht="15.75" customHeight="1">
      <c r="A664" s="29"/>
      <c r="B664" s="16"/>
      <c r="C664" s="29"/>
      <c r="D664" s="35"/>
      <c r="E664" s="35"/>
      <c r="F664" s="29"/>
      <c r="G664" s="19"/>
      <c r="H664" s="41"/>
      <c r="I664" s="25"/>
      <c r="J664" s="25"/>
      <c r="K664" s="41"/>
      <c r="L664" s="35"/>
      <c r="M664" s="35"/>
      <c r="N664" s="35"/>
      <c r="O664" s="26"/>
      <c r="P664" s="23"/>
      <c r="Q664" s="24"/>
      <c r="R664" s="29"/>
      <c r="S664" s="29"/>
      <c r="T664" s="43"/>
      <c r="U664" s="29"/>
      <c r="V664" s="42"/>
      <c r="W664" s="29"/>
    </row>
    <row r="665" ht="15.75" customHeight="1">
      <c r="A665" s="29"/>
      <c r="B665" s="16"/>
      <c r="C665" s="29"/>
      <c r="D665" s="35"/>
      <c r="E665" s="35"/>
      <c r="F665" s="29"/>
      <c r="G665" s="19"/>
      <c r="H665" s="41"/>
      <c r="I665" s="25"/>
      <c r="J665" s="25"/>
      <c r="K665" s="41"/>
      <c r="L665" s="35"/>
      <c r="M665" s="35"/>
      <c r="N665" s="35"/>
      <c r="O665" s="26"/>
      <c r="P665" s="23"/>
      <c r="Q665" s="24"/>
      <c r="R665" s="29"/>
      <c r="S665" s="29"/>
      <c r="T665" s="43"/>
      <c r="U665" s="29"/>
      <c r="V665" s="42"/>
      <c r="W665" s="29"/>
    </row>
    <row r="666" ht="15.75" customHeight="1">
      <c r="A666" s="29"/>
      <c r="B666" s="16"/>
      <c r="C666" s="29"/>
      <c r="D666" s="35"/>
      <c r="E666" s="35"/>
      <c r="F666" s="29"/>
      <c r="G666" s="19"/>
      <c r="H666" s="41"/>
      <c r="I666" s="25"/>
      <c r="J666" s="25"/>
      <c r="K666" s="41"/>
      <c r="L666" s="35"/>
      <c r="M666" s="35"/>
      <c r="N666" s="35"/>
      <c r="O666" s="26"/>
      <c r="P666" s="23"/>
      <c r="Q666" s="24"/>
      <c r="R666" s="29"/>
      <c r="S666" s="29"/>
      <c r="T666" s="43"/>
      <c r="U666" s="29"/>
      <c r="V666" s="42"/>
      <c r="W666" s="29"/>
    </row>
    <row r="667" ht="15.75" customHeight="1">
      <c r="A667" s="29"/>
      <c r="B667" s="16"/>
      <c r="C667" s="29"/>
      <c r="D667" s="35"/>
      <c r="E667" s="35"/>
      <c r="F667" s="29"/>
      <c r="G667" s="19"/>
      <c r="H667" s="41"/>
      <c r="I667" s="25"/>
      <c r="J667" s="25"/>
      <c r="K667" s="41"/>
      <c r="L667" s="35"/>
      <c r="M667" s="35"/>
      <c r="N667" s="35"/>
      <c r="O667" s="26"/>
      <c r="P667" s="23"/>
      <c r="Q667" s="24"/>
      <c r="R667" s="29"/>
      <c r="S667" s="29"/>
      <c r="T667" s="43"/>
      <c r="U667" s="29"/>
      <c r="V667" s="42"/>
      <c r="W667" s="29"/>
    </row>
    <row r="668" ht="15.75" customHeight="1">
      <c r="A668" s="29"/>
      <c r="B668" s="16"/>
      <c r="C668" s="29"/>
      <c r="D668" s="35"/>
      <c r="E668" s="35"/>
      <c r="F668" s="29"/>
      <c r="G668" s="19"/>
      <c r="H668" s="41"/>
      <c r="I668" s="25"/>
      <c r="J668" s="25"/>
      <c r="K668" s="41"/>
      <c r="L668" s="35"/>
      <c r="M668" s="35"/>
      <c r="N668" s="35"/>
      <c r="O668" s="26"/>
      <c r="P668" s="23"/>
      <c r="Q668" s="24"/>
      <c r="R668" s="29"/>
      <c r="S668" s="29"/>
      <c r="T668" s="43"/>
      <c r="U668" s="29"/>
      <c r="V668" s="42"/>
      <c r="W668" s="29"/>
    </row>
    <row r="669" ht="15.75" customHeight="1">
      <c r="A669" s="29"/>
      <c r="B669" s="16"/>
      <c r="C669" s="29"/>
      <c r="D669" s="35"/>
      <c r="E669" s="35"/>
      <c r="F669" s="29"/>
      <c r="G669" s="19"/>
      <c r="H669" s="41"/>
      <c r="I669" s="25"/>
      <c r="J669" s="25"/>
      <c r="K669" s="41"/>
      <c r="L669" s="35"/>
      <c r="M669" s="35"/>
      <c r="N669" s="35"/>
      <c r="O669" s="26"/>
      <c r="P669" s="23"/>
      <c r="Q669" s="24"/>
      <c r="R669" s="29"/>
      <c r="S669" s="29"/>
      <c r="T669" s="43"/>
      <c r="U669" s="29"/>
      <c r="V669" s="42"/>
      <c r="W669" s="29"/>
    </row>
    <row r="670" ht="15.75" customHeight="1">
      <c r="A670" s="29"/>
      <c r="B670" s="16"/>
      <c r="C670" s="29"/>
      <c r="D670" s="35"/>
      <c r="E670" s="35"/>
      <c r="F670" s="29"/>
      <c r="G670" s="19"/>
      <c r="H670" s="41"/>
      <c r="I670" s="25"/>
      <c r="J670" s="25"/>
      <c r="K670" s="41"/>
      <c r="L670" s="35"/>
      <c r="M670" s="35"/>
      <c r="N670" s="35"/>
      <c r="O670" s="26"/>
      <c r="P670" s="23"/>
      <c r="Q670" s="24"/>
      <c r="R670" s="29"/>
      <c r="S670" s="29"/>
      <c r="T670" s="43"/>
      <c r="U670" s="29"/>
      <c r="V670" s="42"/>
      <c r="W670" s="29"/>
    </row>
    <row r="671" ht="15.75" customHeight="1">
      <c r="A671" s="29"/>
      <c r="B671" s="16"/>
      <c r="C671" s="29"/>
      <c r="D671" s="35"/>
      <c r="E671" s="35"/>
      <c r="F671" s="29"/>
      <c r="G671" s="19"/>
      <c r="H671" s="41"/>
      <c r="I671" s="25"/>
      <c r="J671" s="25"/>
      <c r="K671" s="41"/>
      <c r="L671" s="35"/>
      <c r="M671" s="35"/>
      <c r="N671" s="35"/>
      <c r="O671" s="26"/>
      <c r="P671" s="23"/>
      <c r="Q671" s="24"/>
      <c r="R671" s="29"/>
      <c r="S671" s="29"/>
      <c r="T671" s="43"/>
      <c r="U671" s="29"/>
      <c r="V671" s="42"/>
      <c r="W671" s="29"/>
    </row>
    <row r="672" ht="15.75" customHeight="1">
      <c r="A672" s="29"/>
      <c r="B672" s="16"/>
      <c r="C672" s="29"/>
      <c r="D672" s="35"/>
      <c r="E672" s="35"/>
      <c r="F672" s="29"/>
      <c r="G672" s="19"/>
      <c r="H672" s="41"/>
      <c r="I672" s="25"/>
      <c r="J672" s="25"/>
      <c r="K672" s="41"/>
      <c r="L672" s="35"/>
      <c r="M672" s="35"/>
      <c r="N672" s="35"/>
      <c r="O672" s="26"/>
      <c r="P672" s="23"/>
      <c r="Q672" s="24"/>
      <c r="R672" s="29"/>
      <c r="S672" s="29"/>
      <c r="T672" s="43"/>
      <c r="U672" s="29"/>
      <c r="V672" s="42"/>
      <c r="W672" s="29"/>
    </row>
    <row r="673" ht="15.75" customHeight="1">
      <c r="A673" s="29"/>
      <c r="B673" s="16"/>
      <c r="C673" s="29"/>
      <c r="D673" s="35"/>
      <c r="E673" s="35"/>
      <c r="F673" s="29"/>
      <c r="G673" s="19"/>
      <c r="H673" s="41"/>
      <c r="I673" s="25"/>
      <c r="J673" s="25"/>
      <c r="K673" s="41"/>
      <c r="L673" s="35"/>
      <c r="M673" s="35"/>
      <c r="N673" s="35"/>
      <c r="O673" s="26"/>
      <c r="P673" s="23"/>
      <c r="Q673" s="24"/>
      <c r="R673" s="29"/>
      <c r="S673" s="29"/>
      <c r="T673" s="43"/>
      <c r="U673" s="29"/>
      <c r="V673" s="42"/>
      <c r="W673" s="29"/>
    </row>
    <row r="674" ht="15.75" customHeight="1">
      <c r="A674" s="29"/>
      <c r="B674" s="16"/>
      <c r="C674" s="29"/>
      <c r="D674" s="35"/>
      <c r="E674" s="35"/>
      <c r="F674" s="29"/>
      <c r="G674" s="19"/>
      <c r="H674" s="41"/>
      <c r="I674" s="25"/>
      <c r="J674" s="25"/>
      <c r="K674" s="41"/>
      <c r="L674" s="35"/>
      <c r="M674" s="35"/>
      <c r="N674" s="35"/>
      <c r="O674" s="26"/>
      <c r="P674" s="23"/>
      <c r="Q674" s="24"/>
      <c r="R674" s="29"/>
      <c r="S674" s="29"/>
      <c r="T674" s="43"/>
      <c r="U674" s="29"/>
      <c r="V674" s="42"/>
      <c r="W674" s="29"/>
    </row>
    <row r="675" ht="15.75" customHeight="1">
      <c r="A675" s="29"/>
      <c r="B675" s="16"/>
      <c r="C675" s="29"/>
      <c r="D675" s="35"/>
      <c r="E675" s="35"/>
      <c r="F675" s="29"/>
      <c r="G675" s="19"/>
      <c r="H675" s="41"/>
      <c r="I675" s="25"/>
      <c r="J675" s="25"/>
      <c r="K675" s="41"/>
      <c r="L675" s="35"/>
      <c r="M675" s="35"/>
      <c r="N675" s="35"/>
      <c r="O675" s="26"/>
      <c r="P675" s="23"/>
      <c r="Q675" s="24"/>
      <c r="R675" s="29"/>
      <c r="S675" s="29"/>
      <c r="T675" s="43"/>
      <c r="U675" s="29"/>
      <c r="V675" s="42"/>
      <c r="W675" s="29"/>
    </row>
    <row r="676" ht="15.75" customHeight="1">
      <c r="A676" s="29"/>
      <c r="B676" s="16"/>
      <c r="C676" s="29"/>
      <c r="D676" s="35"/>
      <c r="E676" s="35"/>
      <c r="F676" s="29"/>
      <c r="G676" s="19"/>
      <c r="H676" s="41"/>
      <c r="I676" s="25"/>
      <c r="J676" s="25"/>
      <c r="K676" s="41"/>
      <c r="L676" s="35"/>
      <c r="M676" s="35"/>
      <c r="N676" s="35"/>
      <c r="O676" s="26"/>
      <c r="P676" s="23"/>
      <c r="Q676" s="24"/>
      <c r="R676" s="29"/>
      <c r="S676" s="29"/>
      <c r="T676" s="43"/>
      <c r="U676" s="29"/>
      <c r="V676" s="42"/>
      <c r="W676" s="29"/>
    </row>
    <row r="677" ht="15.75" customHeight="1">
      <c r="A677" s="29"/>
      <c r="B677" s="16"/>
      <c r="C677" s="29"/>
      <c r="D677" s="35"/>
      <c r="E677" s="35"/>
      <c r="F677" s="29"/>
      <c r="G677" s="19"/>
      <c r="H677" s="41"/>
      <c r="I677" s="25"/>
      <c r="J677" s="25"/>
      <c r="K677" s="41"/>
      <c r="L677" s="35"/>
      <c r="M677" s="35"/>
      <c r="N677" s="35"/>
      <c r="O677" s="26"/>
      <c r="P677" s="23"/>
      <c r="Q677" s="24"/>
      <c r="R677" s="29"/>
      <c r="S677" s="29"/>
      <c r="T677" s="43"/>
      <c r="U677" s="29"/>
      <c r="V677" s="42"/>
      <c r="W677" s="29"/>
    </row>
    <row r="678" ht="15.75" customHeight="1">
      <c r="A678" s="29"/>
      <c r="B678" s="16"/>
      <c r="C678" s="29"/>
      <c r="D678" s="35"/>
      <c r="E678" s="35"/>
      <c r="F678" s="29"/>
      <c r="G678" s="19"/>
      <c r="H678" s="41"/>
      <c r="I678" s="25"/>
      <c r="J678" s="25"/>
      <c r="K678" s="41"/>
      <c r="L678" s="35"/>
      <c r="M678" s="35"/>
      <c r="N678" s="35"/>
      <c r="O678" s="26"/>
      <c r="P678" s="23"/>
      <c r="Q678" s="24"/>
      <c r="R678" s="29"/>
      <c r="S678" s="29"/>
      <c r="T678" s="43"/>
      <c r="U678" s="29"/>
      <c r="V678" s="42"/>
      <c r="W678" s="29"/>
    </row>
    <row r="679" ht="15.75" customHeight="1">
      <c r="A679" s="29"/>
      <c r="B679" s="16"/>
      <c r="C679" s="29"/>
      <c r="D679" s="35"/>
      <c r="E679" s="35"/>
      <c r="F679" s="29"/>
      <c r="G679" s="19"/>
      <c r="H679" s="41"/>
      <c r="I679" s="25"/>
      <c r="J679" s="25"/>
      <c r="K679" s="41"/>
      <c r="L679" s="35"/>
      <c r="M679" s="35"/>
      <c r="N679" s="35"/>
      <c r="O679" s="26"/>
      <c r="P679" s="23"/>
      <c r="Q679" s="24"/>
      <c r="R679" s="29"/>
      <c r="S679" s="29"/>
      <c r="T679" s="43"/>
      <c r="U679" s="29"/>
      <c r="V679" s="42"/>
      <c r="W679" s="29"/>
    </row>
    <row r="680" ht="15.75" customHeight="1">
      <c r="A680" s="29"/>
      <c r="B680" s="16"/>
      <c r="C680" s="29"/>
      <c r="D680" s="35"/>
      <c r="E680" s="35"/>
      <c r="F680" s="29"/>
      <c r="G680" s="19"/>
      <c r="H680" s="41"/>
      <c r="I680" s="25"/>
      <c r="J680" s="25"/>
      <c r="K680" s="41"/>
      <c r="L680" s="35"/>
      <c r="M680" s="35"/>
      <c r="N680" s="35"/>
      <c r="O680" s="26"/>
      <c r="P680" s="23"/>
      <c r="Q680" s="24"/>
      <c r="R680" s="29"/>
      <c r="S680" s="29"/>
      <c r="T680" s="43"/>
      <c r="U680" s="29"/>
      <c r="V680" s="42"/>
      <c r="W680" s="29"/>
    </row>
    <row r="681" ht="15.75" customHeight="1">
      <c r="A681" s="29"/>
      <c r="B681" s="16"/>
      <c r="C681" s="29"/>
      <c r="D681" s="35"/>
      <c r="E681" s="35"/>
      <c r="F681" s="29"/>
      <c r="G681" s="19"/>
      <c r="H681" s="41"/>
      <c r="I681" s="25"/>
      <c r="J681" s="25"/>
      <c r="K681" s="41"/>
      <c r="L681" s="35"/>
      <c r="M681" s="35"/>
      <c r="N681" s="35"/>
      <c r="O681" s="26"/>
      <c r="P681" s="23"/>
      <c r="Q681" s="24"/>
      <c r="R681" s="29"/>
      <c r="S681" s="29"/>
      <c r="T681" s="43"/>
      <c r="U681" s="29"/>
      <c r="V681" s="42"/>
      <c r="W681" s="29"/>
    </row>
    <row r="682" ht="15.75" customHeight="1">
      <c r="A682" s="29"/>
      <c r="B682" s="16"/>
      <c r="C682" s="29"/>
      <c r="D682" s="35"/>
      <c r="E682" s="35"/>
      <c r="F682" s="29"/>
      <c r="G682" s="19"/>
      <c r="H682" s="41"/>
      <c r="I682" s="25"/>
      <c r="J682" s="25"/>
      <c r="K682" s="41"/>
      <c r="L682" s="35"/>
      <c r="M682" s="35"/>
      <c r="N682" s="35"/>
      <c r="O682" s="26"/>
      <c r="P682" s="23"/>
      <c r="Q682" s="24"/>
      <c r="R682" s="29"/>
      <c r="S682" s="29"/>
      <c r="T682" s="43"/>
      <c r="U682" s="29"/>
      <c r="V682" s="42"/>
      <c r="W682" s="29"/>
    </row>
    <row r="683" ht="15.75" customHeight="1">
      <c r="A683" s="29"/>
      <c r="B683" s="16"/>
      <c r="C683" s="29"/>
      <c r="D683" s="35"/>
      <c r="E683" s="35"/>
      <c r="F683" s="29"/>
      <c r="G683" s="19"/>
      <c r="H683" s="41"/>
      <c r="I683" s="25"/>
      <c r="J683" s="25"/>
      <c r="K683" s="41"/>
      <c r="L683" s="35"/>
      <c r="M683" s="35"/>
      <c r="N683" s="35"/>
      <c r="O683" s="26"/>
      <c r="P683" s="23"/>
      <c r="Q683" s="24"/>
      <c r="R683" s="29"/>
      <c r="S683" s="29"/>
      <c r="T683" s="43"/>
      <c r="U683" s="29"/>
      <c r="V683" s="42"/>
      <c r="W683" s="29"/>
    </row>
    <row r="684" ht="15.75" customHeight="1">
      <c r="A684" s="29"/>
      <c r="B684" s="16"/>
      <c r="C684" s="29"/>
      <c r="D684" s="35"/>
      <c r="E684" s="35"/>
      <c r="F684" s="29"/>
      <c r="G684" s="19"/>
      <c r="H684" s="41"/>
      <c r="I684" s="25"/>
      <c r="J684" s="25"/>
      <c r="K684" s="41"/>
      <c r="L684" s="35"/>
      <c r="M684" s="35"/>
      <c r="N684" s="35"/>
      <c r="O684" s="26"/>
      <c r="P684" s="23"/>
      <c r="Q684" s="24"/>
      <c r="R684" s="29"/>
      <c r="S684" s="29"/>
      <c r="T684" s="43"/>
      <c r="U684" s="29"/>
      <c r="V684" s="42"/>
      <c r="W684" s="29"/>
    </row>
    <row r="685" ht="15.75" customHeight="1">
      <c r="A685" s="29"/>
      <c r="B685" s="16"/>
      <c r="C685" s="29"/>
      <c r="D685" s="35"/>
      <c r="E685" s="35"/>
      <c r="F685" s="29"/>
      <c r="G685" s="19"/>
      <c r="H685" s="41"/>
      <c r="I685" s="25"/>
      <c r="J685" s="25"/>
      <c r="K685" s="41"/>
      <c r="L685" s="35"/>
      <c r="M685" s="35"/>
      <c r="N685" s="35"/>
      <c r="O685" s="26"/>
      <c r="P685" s="23"/>
      <c r="Q685" s="24"/>
      <c r="R685" s="29"/>
      <c r="S685" s="29"/>
      <c r="T685" s="43"/>
      <c r="U685" s="29"/>
      <c r="V685" s="42"/>
      <c r="W685" s="29"/>
    </row>
    <row r="686" ht="15.75" customHeight="1">
      <c r="A686" s="29"/>
      <c r="B686" s="16"/>
      <c r="C686" s="29"/>
      <c r="D686" s="35"/>
      <c r="E686" s="35"/>
      <c r="F686" s="29"/>
      <c r="G686" s="19"/>
      <c r="H686" s="41"/>
      <c r="I686" s="25"/>
      <c r="J686" s="25"/>
      <c r="K686" s="41"/>
      <c r="L686" s="35"/>
      <c r="M686" s="35"/>
      <c r="N686" s="35"/>
      <c r="O686" s="26"/>
      <c r="P686" s="23"/>
      <c r="Q686" s="24"/>
      <c r="R686" s="29"/>
      <c r="S686" s="29"/>
      <c r="T686" s="43"/>
      <c r="U686" s="29"/>
      <c r="V686" s="42"/>
      <c r="W686" s="29"/>
    </row>
    <row r="687" ht="15.75" customHeight="1">
      <c r="A687" s="29"/>
      <c r="B687" s="16"/>
      <c r="C687" s="29"/>
      <c r="D687" s="35"/>
      <c r="E687" s="35"/>
      <c r="F687" s="29"/>
      <c r="G687" s="19"/>
      <c r="H687" s="41"/>
      <c r="I687" s="25"/>
      <c r="J687" s="25"/>
      <c r="K687" s="41"/>
      <c r="L687" s="35"/>
      <c r="M687" s="35"/>
      <c r="N687" s="35"/>
      <c r="O687" s="26"/>
      <c r="P687" s="23"/>
      <c r="Q687" s="24"/>
      <c r="R687" s="29"/>
      <c r="S687" s="29"/>
      <c r="T687" s="43"/>
      <c r="U687" s="29"/>
      <c r="V687" s="42"/>
      <c r="W687" s="29"/>
    </row>
    <row r="688" ht="15.75" customHeight="1">
      <c r="A688" s="29"/>
      <c r="B688" s="16"/>
      <c r="C688" s="29"/>
      <c r="D688" s="35"/>
      <c r="E688" s="35"/>
      <c r="F688" s="29"/>
      <c r="G688" s="19"/>
      <c r="H688" s="41"/>
      <c r="I688" s="25"/>
      <c r="J688" s="25"/>
      <c r="K688" s="41"/>
      <c r="L688" s="35"/>
      <c r="M688" s="35"/>
      <c r="N688" s="35"/>
      <c r="O688" s="26"/>
      <c r="P688" s="23"/>
      <c r="Q688" s="24"/>
      <c r="R688" s="29"/>
      <c r="S688" s="29"/>
      <c r="T688" s="43"/>
      <c r="U688" s="29"/>
      <c r="V688" s="42"/>
      <c r="W688" s="29"/>
    </row>
    <row r="689" ht="15.75" customHeight="1">
      <c r="A689" s="29"/>
      <c r="B689" s="16"/>
      <c r="C689" s="29"/>
      <c r="D689" s="35"/>
      <c r="E689" s="35"/>
      <c r="F689" s="29"/>
      <c r="G689" s="19"/>
      <c r="H689" s="41"/>
      <c r="I689" s="25"/>
      <c r="J689" s="25"/>
      <c r="K689" s="41"/>
      <c r="L689" s="35"/>
      <c r="M689" s="35"/>
      <c r="N689" s="35"/>
      <c r="O689" s="26"/>
      <c r="P689" s="23"/>
      <c r="Q689" s="24"/>
      <c r="R689" s="29"/>
      <c r="S689" s="29"/>
      <c r="T689" s="43"/>
      <c r="U689" s="29"/>
      <c r="V689" s="42"/>
      <c r="W689" s="29"/>
    </row>
    <row r="690" ht="15.75" customHeight="1">
      <c r="A690" s="29"/>
      <c r="B690" s="16"/>
      <c r="C690" s="29"/>
      <c r="D690" s="35"/>
      <c r="E690" s="35"/>
      <c r="F690" s="29"/>
      <c r="G690" s="19"/>
      <c r="H690" s="41"/>
      <c r="I690" s="25"/>
      <c r="J690" s="25"/>
      <c r="K690" s="41"/>
      <c r="L690" s="35"/>
      <c r="M690" s="35"/>
      <c r="N690" s="35"/>
      <c r="O690" s="26"/>
      <c r="P690" s="23"/>
      <c r="Q690" s="24"/>
      <c r="R690" s="29"/>
      <c r="S690" s="29"/>
      <c r="T690" s="43"/>
      <c r="U690" s="29"/>
      <c r="V690" s="42"/>
      <c r="W690" s="29"/>
    </row>
    <row r="691" ht="15.75" customHeight="1">
      <c r="A691" s="29"/>
      <c r="B691" s="16"/>
      <c r="C691" s="29"/>
      <c r="D691" s="35"/>
      <c r="E691" s="35"/>
      <c r="F691" s="29"/>
      <c r="G691" s="19"/>
      <c r="H691" s="41"/>
      <c r="I691" s="25"/>
      <c r="J691" s="25"/>
      <c r="K691" s="41"/>
      <c r="L691" s="35"/>
      <c r="M691" s="35"/>
      <c r="N691" s="35"/>
      <c r="O691" s="26"/>
      <c r="P691" s="23"/>
      <c r="Q691" s="24"/>
      <c r="R691" s="29"/>
      <c r="S691" s="29"/>
      <c r="T691" s="43"/>
      <c r="U691" s="29"/>
      <c r="V691" s="42"/>
      <c r="W691" s="29"/>
    </row>
    <row r="692" ht="15.75" customHeight="1">
      <c r="A692" s="29"/>
      <c r="B692" s="16"/>
      <c r="C692" s="29"/>
      <c r="D692" s="35"/>
      <c r="E692" s="35"/>
      <c r="F692" s="29"/>
      <c r="G692" s="19"/>
      <c r="H692" s="41"/>
      <c r="I692" s="25"/>
      <c r="J692" s="25"/>
      <c r="K692" s="41"/>
      <c r="L692" s="35"/>
      <c r="M692" s="35"/>
      <c r="N692" s="35"/>
      <c r="O692" s="26"/>
      <c r="P692" s="23"/>
      <c r="Q692" s="24"/>
      <c r="R692" s="29"/>
      <c r="S692" s="29"/>
      <c r="T692" s="43"/>
      <c r="U692" s="29"/>
      <c r="V692" s="42"/>
      <c r="W692" s="29"/>
    </row>
    <row r="693" ht="15.75" customHeight="1">
      <c r="A693" s="29"/>
      <c r="B693" s="16"/>
      <c r="C693" s="29"/>
      <c r="D693" s="35"/>
      <c r="E693" s="35"/>
      <c r="F693" s="29"/>
      <c r="G693" s="19"/>
      <c r="H693" s="41"/>
      <c r="I693" s="25"/>
      <c r="J693" s="25"/>
      <c r="K693" s="41"/>
      <c r="L693" s="35"/>
      <c r="M693" s="35"/>
      <c r="N693" s="35"/>
      <c r="O693" s="26"/>
      <c r="P693" s="23"/>
      <c r="Q693" s="24"/>
      <c r="R693" s="29"/>
      <c r="S693" s="29"/>
      <c r="T693" s="43"/>
      <c r="U693" s="29"/>
      <c r="V693" s="42"/>
      <c r="W693" s="29"/>
    </row>
    <row r="694" ht="15.75" customHeight="1">
      <c r="A694" s="29"/>
      <c r="B694" s="16"/>
      <c r="C694" s="29"/>
      <c r="D694" s="35"/>
      <c r="E694" s="35"/>
      <c r="F694" s="29"/>
      <c r="G694" s="19"/>
      <c r="H694" s="41"/>
      <c r="I694" s="25"/>
      <c r="J694" s="25"/>
      <c r="K694" s="41"/>
      <c r="L694" s="35"/>
      <c r="M694" s="35"/>
      <c r="N694" s="35"/>
      <c r="O694" s="26"/>
      <c r="P694" s="23"/>
      <c r="Q694" s="24"/>
      <c r="R694" s="29"/>
      <c r="S694" s="29"/>
      <c r="T694" s="43"/>
      <c r="U694" s="29"/>
      <c r="V694" s="42"/>
      <c r="W694" s="29"/>
    </row>
    <row r="695" ht="15.75" customHeight="1">
      <c r="A695" s="29"/>
      <c r="B695" s="16"/>
      <c r="C695" s="29"/>
      <c r="D695" s="35"/>
      <c r="E695" s="35"/>
      <c r="F695" s="29"/>
      <c r="G695" s="19"/>
      <c r="H695" s="41"/>
      <c r="I695" s="25"/>
      <c r="J695" s="25"/>
      <c r="K695" s="41"/>
      <c r="L695" s="35"/>
      <c r="M695" s="35"/>
      <c r="N695" s="35"/>
      <c r="O695" s="26"/>
      <c r="P695" s="23"/>
      <c r="Q695" s="24"/>
      <c r="R695" s="29"/>
      <c r="S695" s="29"/>
      <c r="T695" s="43"/>
      <c r="U695" s="29"/>
      <c r="V695" s="42"/>
      <c r="W695" s="29"/>
    </row>
    <row r="696" ht="15.75" customHeight="1">
      <c r="A696" s="29"/>
      <c r="B696" s="16"/>
      <c r="C696" s="29"/>
      <c r="D696" s="35"/>
      <c r="E696" s="35"/>
      <c r="F696" s="29"/>
      <c r="G696" s="19"/>
      <c r="H696" s="41"/>
      <c r="I696" s="25"/>
      <c r="J696" s="25"/>
      <c r="K696" s="41"/>
      <c r="L696" s="35"/>
      <c r="M696" s="35"/>
      <c r="N696" s="35"/>
      <c r="O696" s="26"/>
      <c r="P696" s="23"/>
      <c r="Q696" s="24"/>
      <c r="R696" s="29"/>
      <c r="S696" s="29"/>
      <c r="T696" s="43"/>
      <c r="U696" s="29"/>
      <c r="V696" s="42"/>
      <c r="W696" s="29"/>
    </row>
    <row r="697" ht="15.75" customHeight="1">
      <c r="A697" s="29"/>
      <c r="B697" s="16"/>
      <c r="C697" s="29"/>
      <c r="D697" s="35"/>
      <c r="E697" s="35"/>
      <c r="F697" s="29"/>
      <c r="G697" s="19"/>
      <c r="H697" s="41"/>
      <c r="I697" s="25"/>
      <c r="J697" s="25"/>
      <c r="K697" s="41"/>
      <c r="L697" s="35"/>
      <c r="M697" s="35"/>
      <c r="N697" s="35"/>
      <c r="O697" s="26"/>
      <c r="P697" s="23"/>
      <c r="Q697" s="24"/>
      <c r="R697" s="29"/>
      <c r="S697" s="29"/>
      <c r="T697" s="43"/>
      <c r="U697" s="29"/>
      <c r="V697" s="42"/>
      <c r="W697" s="29"/>
    </row>
    <row r="698" ht="15.75" customHeight="1">
      <c r="A698" s="29"/>
      <c r="B698" s="16"/>
      <c r="C698" s="29"/>
      <c r="D698" s="35"/>
      <c r="E698" s="35"/>
      <c r="F698" s="29"/>
      <c r="G698" s="19"/>
      <c r="H698" s="41"/>
      <c r="I698" s="25"/>
      <c r="J698" s="25"/>
      <c r="K698" s="41"/>
      <c r="L698" s="35"/>
      <c r="M698" s="35"/>
      <c r="N698" s="35"/>
      <c r="O698" s="26"/>
      <c r="P698" s="23"/>
      <c r="Q698" s="24"/>
      <c r="R698" s="29"/>
      <c r="S698" s="29"/>
      <c r="T698" s="43"/>
      <c r="U698" s="29"/>
      <c r="V698" s="42"/>
      <c r="W698" s="29"/>
    </row>
    <row r="699" ht="15.75" customHeight="1">
      <c r="A699" s="29"/>
      <c r="B699" s="16"/>
      <c r="C699" s="29"/>
      <c r="D699" s="35"/>
      <c r="E699" s="35"/>
      <c r="F699" s="29"/>
      <c r="G699" s="19"/>
      <c r="H699" s="41"/>
      <c r="I699" s="25"/>
      <c r="J699" s="25"/>
      <c r="K699" s="41"/>
      <c r="L699" s="35"/>
      <c r="M699" s="35"/>
      <c r="N699" s="35"/>
      <c r="O699" s="26"/>
      <c r="P699" s="23"/>
      <c r="Q699" s="24"/>
      <c r="R699" s="29"/>
      <c r="S699" s="29"/>
      <c r="T699" s="43"/>
      <c r="U699" s="29"/>
      <c r="V699" s="42"/>
      <c r="W699" s="29"/>
    </row>
    <row r="700" ht="15.75" customHeight="1">
      <c r="A700" s="29"/>
      <c r="B700" s="16"/>
      <c r="C700" s="29"/>
      <c r="D700" s="35"/>
      <c r="E700" s="35"/>
      <c r="F700" s="29"/>
      <c r="G700" s="19"/>
      <c r="H700" s="41"/>
      <c r="I700" s="25"/>
      <c r="J700" s="25"/>
      <c r="K700" s="41"/>
      <c r="L700" s="35"/>
      <c r="M700" s="35"/>
      <c r="N700" s="35"/>
      <c r="O700" s="26"/>
      <c r="P700" s="23"/>
      <c r="Q700" s="24"/>
      <c r="R700" s="29"/>
      <c r="S700" s="29"/>
      <c r="T700" s="43"/>
      <c r="U700" s="29"/>
      <c r="V700" s="42"/>
      <c r="W700" s="29"/>
    </row>
    <row r="701" ht="15.75" customHeight="1">
      <c r="A701" s="29"/>
      <c r="B701" s="16"/>
      <c r="C701" s="29"/>
      <c r="D701" s="35"/>
      <c r="E701" s="35"/>
      <c r="F701" s="29"/>
      <c r="G701" s="19"/>
      <c r="H701" s="41"/>
      <c r="I701" s="25"/>
      <c r="J701" s="25"/>
      <c r="K701" s="41"/>
      <c r="L701" s="35"/>
      <c r="M701" s="35"/>
      <c r="N701" s="35"/>
      <c r="O701" s="26"/>
      <c r="P701" s="23"/>
      <c r="Q701" s="24"/>
      <c r="R701" s="29"/>
      <c r="S701" s="29"/>
      <c r="T701" s="43"/>
      <c r="U701" s="29"/>
      <c r="V701" s="42"/>
      <c r="W701" s="29"/>
    </row>
    <row r="702" ht="15.75" customHeight="1">
      <c r="A702" s="29"/>
      <c r="B702" s="16"/>
      <c r="C702" s="29"/>
      <c r="D702" s="35"/>
      <c r="E702" s="35"/>
      <c r="F702" s="29"/>
      <c r="G702" s="19"/>
      <c r="H702" s="41"/>
      <c r="I702" s="25"/>
      <c r="J702" s="25"/>
      <c r="K702" s="41"/>
      <c r="L702" s="35"/>
      <c r="M702" s="35"/>
      <c r="N702" s="35"/>
      <c r="O702" s="26"/>
      <c r="P702" s="23"/>
      <c r="Q702" s="24"/>
      <c r="R702" s="29"/>
      <c r="S702" s="29"/>
      <c r="T702" s="43"/>
      <c r="U702" s="29"/>
      <c r="V702" s="42"/>
      <c r="W702" s="29"/>
    </row>
    <row r="703" ht="15.75" customHeight="1">
      <c r="A703" s="29"/>
      <c r="B703" s="16"/>
      <c r="C703" s="29"/>
      <c r="D703" s="35"/>
      <c r="E703" s="35"/>
      <c r="F703" s="29"/>
      <c r="G703" s="19"/>
      <c r="H703" s="41"/>
      <c r="I703" s="25"/>
      <c r="J703" s="25"/>
      <c r="K703" s="41"/>
      <c r="L703" s="35"/>
      <c r="M703" s="35"/>
      <c r="N703" s="35"/>
      <c r="O703" s="26"/>
      <c r="P703" s="23"/>
      <c r="Q703" s="24"/>
      <c r="R703" s="29"/>
      <c r="S703" s="29"/>
      <c r="T703" s="43"/>
      <c r="U703" s="29"/>
      <c r="V703" s="42"/>
      <c r="W703" s="29"/>
    </row>
    <row r="704" ht="15.75" customHeight="1">
      <c r="A704" s="29"/>
      <c r="B704" s="16"/>
      <c r="C704" s="29"/>
      <c r="D704" s="35"/>
      <c r="E704" s="35"/>
      <c r="F704" s="29"/>
      <c r="G704" s="19"/>
      <c r="H704" s="41"/>
      <c r="I704" s="25"/>
      <c r="J704" s="25"/>
      <c r="K704" s="41"/>
      <c r="L704" s="35"/>
      <c r="M704" s="35"/>
      <c r="N704" s="35"/>
      <c r="O704" s="26"/>
      <c r="P704" s="23"/>
      <c r="Q704" s="24"/>
      <c r="R704" s="29"/>
      <c r="S704" s="29"/>
      <c r="T704" s="43"/>
      <c r="U704" s="29"/>
      <c r="V704" s="42"/>
      <c r="W704" s="29"/>
    </row>
    <row r="705" ht="15.75" customHeight="1">
      <c r="A705" s="29"/>
      <c r="B705" s="16"/>
      <c r="C705" s="29"/>
      <c r="D705" s="35"/>
      <c r="E705" s="35"/>
      <c r="F705" s="29"/>
      <c r="G705" s="19"/>
      <c r="H705" s="41"/>
      <c r="I705" s="25"/>
      <c r="J705" s="25"/>
      <c r="K705" s="41"/>
      <c r="L705" s="35"/>
      <c r="M705" s="35"/>
      <c r="N705" s="35"/>
      <c r="O705" s="26"/>
      <c r="P705" s="23"/>
      <c r="Q705" s="24"/>
      <c r="R705" s="29"/>
      <c r="S705" s="29"/>
      <c r="T705" s="43"/>
      <c r="U705" s="29"/>
      <c r="V705" s="42"/>
      <c r="W705" s="29"/>
    </row>
    <row r="706" ht="15.75" customHeight="1">
      <c r="A706" s="29"/>
      <c r="B706" s="16"/>
      <c r="C706" s="29"/>
      <c r="D706" s="35"/>
      <c r="E706" s="35"/>
      <c r="F706" s="29"/>
      <c r="G706" s="19"/>
      <c r="H706" s="41"/>
      <c r="I706" s="25"/>
      <c r="J706" s="25"/>
      <c r="K706" s="41"/>
      <c r="L706" s="35"/>
      <c r="M706" s="35"/>
      <c r="N706" s="35"/>
      <c r="O706" s="26"/>
      <c r="P706" s="23"/>
      <c r="Q706" s="24"/>
      <c r="R706" s="29"/>
      <c r="S706" s="29"/>
      <c r="T706" s="43"/>
      <c r="U706" s="29"/>
      <c r="V706" s="42"/>
      <c r="W706" s="29"/>
    </row>
    <row r="707" ht="15.75" customHeight="1">
      <c r="A707" s="29"/>
      <c r="B707" s="16"/>
      <c r="C707" s="29"/>
      <c r="D707" s="35"/>
      <c r="E707" s="35"/>
      <c r="F707" s="29"/>
      <c r="G707" s="19"/>
      <c r="H707" s="41"/>
      <c r="I707" s="25"/>
      <c r="J707" s="25"/>
      <c r="K707" s="41"/>
      <c r="L707" s="35"/>
      <c r="M707" s="35"/>
      <c r="N707" s="35"/>
      <c r="O707" s="26"/>
      <c r="P707" s="23"/>
      <c r="Q707" s="24"/>
      <c r="R707" s="29"/>
      <c r="S707" s="29"/>
      <c r="T707" s="43"/>
      <c r="U707" s="29"/>
      <c r="V707" s="42"/>
      <c r="W707" s="29"/>
    </row>
    <row r="708" ht="15.75" customHeight="1">
      <c r="A708" s="29"/>
      <c r="B708" s="16"/>
      <c r="C708" s="29"/>
      <c r="D708" s="35"/>
      <c r="E708" s="35"/>
      <c r="F708" s="29"/>
      <c r="G708" s="19"/>
      <c r="H708" s="41"/>
      <c r="I708" s="25"/>
      <c r="J708" s="25"/>
      <c r="K708" s="41"/>
      <c r="L708" s="35"/>
      <c r="M708" s="35"/>
      <c r="N708" s="35"/>
      <c r="O708" s="26"/>
      <c r="P708" s="23"/>
      <c r="Q708" s="24"/>
      <c r="R708" s="29"/>
      <c r="S708" s="29"/>
      <c r="T708" s="43"/>
      <c r="U708" s="29"/>
      <c r="V708" s="42"/>
      <c r="W708" s="29"/>
    </row>
    <row r="709" ht="15.75" customHeight="1">
      <c r="A709" s="29"/>
      <c r="B709" s="16"/>
      <c r="C709" s="29"/>
      <c r="D709" s="35"/>
      <c r="E709" s="35"/>
      <c r="F709" s="29"/>
      <c r="G709" s="19"/>
      <c r="H709" s="41"/>
      <c r="I709" s="25"/>
      <c r="J709" s="25"/>
      <c r="K709" s="41"/>
      <c r="L709" s="35"/>
      <c r="M709" s="35"/>
      <c r="N709" s="35"/>
      <c r="O709" s="26"/>
      <c r="P709" s="23"/>
      <c r="Q709" s="24"/>
      <c r="R709" s="29"/>
      <c r="S709" s="29"/>
      <c r="T709" s="43"/>
      <c r="U709" s="29"/>
      <c r="V709" s="42"/>
      <c r="W709" s="29"/>
    </row>
    <row r="710" ht="15.75" customHeight="1">
      <c r="A710" s="29"/>
      <c r="B710" s="16"/>
      <c r="C710" s="29"/>
      <c r="D710" s="35"/>
      <c r="E710" s="35"/>
      <c r="F710" s="29"/>
      <c r="G710" s="19"/>
      <c r="H710" s="41"/>
      <c r="I710" s="25"/>
      <c r="J710" s="25"/>
      <c r="K710" s="41"/>
      <c r="L710" s="35"/>
      <c r="M710" s="35"/>
      <c r="N710" s="35"/>
      <c r="O710" s="26"/>
      <c r="P710" s="23"/>
      <c r="Q710" s="24"/>
      <c r="R710" s="29"/>
      <c r="S710" s="29"/>
      <c r="T710" s="43"/>
      <c r="U710" s="29"/>
      <c r="V710" s="42"/>
      <c r="W710" s="29"/>
    </row>
    <row r="711" ht="15.75" customHeight="1">
      <c r="A711" s="29"/>
      <c r="B711" s="16"/>
      <c r="C711" s="29"/>
      <c r="D711" s="35"/>
      <c r="E711" s="35"/>
      <c r="F711" s="29"/>
      <c r="G711" s="19"/>
      <c r="H711" s="41"/>
      <c r="I711" s="25"/>
      <c r="J711" s="25"/>
      <c r="K711" s="41"/>
      <c r="L711" s="35"/>
      <c r="M711" s="35"/>
      <c r="N711" s="35"/>
      <c r="O711" s="26"/>
      <c r="P711" s="23"/>
      <c r="Q711" s="24"/>
      <c r="R711" s="29"/>
      <c r="S711" s="29"/>
      <c r="T711" s="43"/>
      <c r="U711" s="29"/>
      <c r="V711" s="42"/>
      <c r="W711" s="29"/>
    </row>
    <row r="712" ht="15.75" customHeight="1">
      <c r="A712" s="29"/>
      <c r="B712" s="16"/>
      <c r="C712" s="29"/>
      <c r="D712" s="35"/>
      <c r="E712" s="35"/>
      <c r="F712" s="29"/>
      <c r="G712" s="19"/>
      <c r="H712" s="41"/>
      <c r="I712" s="25"/>
      <c r="J712" s="25"/>
      <c r="K712" s="41"/>
      <c r="L712" s="35"/>
      <c r="M712" s="35"/>
      <c r="N712" s="35"/>
      <c r="O712" s="26"/>
      <c r="P712" s="23"/>
      <c r="Q712" s="24"/>
      <c r="R712" s="29"/>
      <c r="S712" s="29"/>
      <c r="T712" s="43"/>
      <c r="U712" s="29"/>
      <c r="V712" s="42"/>
      <c r="W712" s="29"/>
    </row>
    <row r="713" ht="15.75" customHeight="1">
      <c r="A713" s="29"/>
      <c r="B713" s="16"/>
      <c r="C713" s="29"/>
      <c r="D713" s="35"/>
      <c r="E713" s="35"/>
      <c r="F713" s="29"/>
      <c r="G713" s="19"/>
      <c r="H713" s="41"/>
      <c r="I713" s="25"/>
      <c r="J713" s="25"/>
      <c r="K713" s="41"/>
      <c r="L713" s="35"/>
      <c r="M713" s="35"/>
      <c r="N713" s="35"/>
      <c r="O713" s="26"/>
      <c r="P713" s="23"/>
      <c r="Q713" s="24"/>
      <c r="R713" s="29"/>
      <c r="S713" s="29"/>
      <c r="T713" s="43"/>
      <c r="U713" s="29"/>
      <c r="V713" s="42"/>
      <c r="W713" s="29"/>
    </row>
    <row r="714" ht="15.75" customHeight="1">
      <c r="A714" s="29"/>
      <c r="B714" s="16"/>
      <c r="C714" s="29"/>
      <c r="D714" s="35"/>
      <c r="E714" s="35"/>
      <c r="F714" s="29"/>
      <c r="G714" s="19"/>
      <c r="H714" s="41"/>
      <c r="I714" s="25"/>
      <c r="J714" s="25"/>
      <c r="K714" s="41"/>
      <c r="L714" s="35"/>
      <c r="M714" s="35"/>
      <c r="N714" s="35"/>
      <c r="O714" s="26"/>
      <c r="P714" s="23"/>
      <c r="Q714" s="24"/>
      <c r="R714" s="29"/>
      <c r="S714" s="29"/>
      <c r="T714" s="43"/>
      <c r="U714" s="29"/>
      <c r="V714" s="42"/>
      <c r="W714" s="29"/>
    </row>
    <row r="715" ht="15.75" customHeight="1">
      <c r="A715" s="29"/>
      <c r="B715" s="16"/>
      <c r="C715" s="29"/>
      <c r="D715" s="35"/>
      <c r="E715" s="35"/>
      <c r="F715" s="29"/>
      <c r="G715" s="19"/>
      <c r="H715" s="41"/>
      <c r="I715" s="25"/>
      <c r="J715" s="25"/>
      <c r="K715" s="41"/>
      <c r="L715" s="35"/>
      <c r="M715" s="35"/>
      <c r="N715" s="35"/>
      <c r="O715" s="26"/>
      <c r="P715" s="23"/>
      <c r="Q715" s="24"/>
      <c r="R715" s="29"/>
      <c r="S715" s="29"/>
      <c r="T715" s="43"/>
      <c r="U715" s="29"/>
      <c r="V715" s="42"/>
      <c r="W715" s="29"/>
    </row>
    <row r="716" ht="15.75" customHeight="1">
      <c r="A716" s="29"/>
      <c r="B716" s="16"/>
      <c r="C716" s="29"/>
      <c r="D716" s="35"/>
      <c r="E716" s="35"/>
      <c r="F716" s="29"/>
      <c r="G716" s="19"/>
      <c r="H716" s="41"/>
      <c r="I716" s="25"/>
      <c r="J716" s="25"/>
      <c r="K716" s="41"/>
      <c r="L716" s="35"/>
      <c r="M716" s="35"/>
      <c r="N716" s="35"/>
      <c r="O716" s="26"/>
      <c r="P716" s="23"/>
      <c r="Q716" s="24"/>
      <c r="R716" s="29"/>
      <c r="S716" s="29"/>
      <c r="T716" s="43"/>
      <c r="U716" s="29"/>
      <c r="V716" s="42"/>
      <c r="W716" s="29"/>
    </row>
    <row r="717" ht="15.75" customHeight="1">
      <c r="A717" s="29"/>
      <c r="B717" s="16"/>
      <c r="C717" s="29"/>
      <c r="D717" s="35"/>
      <c r="E717" s="35"/>
      <c r="F717" s="29"/>
      <c r="G717" s="19"/>
      <c r="H717" s="41"/>
      <c r="I717" s="25"/>
      <c r="J717" s="25"/>
      <c r="K717" s="41"/>
      <c r="L717" s="35"/>
      <c r="M717" s="35"/>
      <c r="N717" s="35"/>
      <c r="O717" s="26"/>
      <c r="P717" s="23"/>
      <c r="Q717" s="24"/>
      <c r="R717" s="29"/>
      <c r="S717" s="29"/>
      <c r="T717" s="43"/>
      <c r="U717" s="29"/>
      <c r="V717" s="42"/>
      <c r="W717" s="29"/>
    </row>
    <row r="718" ht="15.75" customHeight="1">
      <c r="A718" s="29"/>
      <c r="B718" s="16"/>
      <c r="C718" s="29"/>
      <c r="D718" s="35"/>
      <c r="E718" s="35"/>
      <c r="F718" s="29"/>
      <c r="G718" s="19"/>
      <c r="H718" s="41"/>
      <c r="I718" s="25"/>
      <c r="J718" s="25"/>
      <c r="K718" s="41"/>
      <c r="L718" s="35"/>
      <c r="M718" s="35"/>
      <c r="N718" s="35"/>
      <c r="O718" s="26"/>
      <c r="P718" s="23"/>
      <c r="Q718" s="24"/>
      <c r="R718" s="29"/>
      <c r="S718" s="29"/>
      <c r="T718" s="43"/>
      <c r="U718" s="29"/>
      <c r="V718" s="42"/>
      <c r="W718" s="29"/>
    </row>
    <row r="719" ht="15.75" customHeight="1">
      <c r="A719" s="29"/>
      <c r="B719" s="16"/>
      <c r="C719" s="29"/>
      <c r="D719" s="35"/>
      <c r="E719" s="35"/>
      <c r="F719" s="29"/>
      <c r="G719" s="19"/>
      <c r="H719" s="41"/>
      <c r="I719" s="25"/>
      <c r="J719" s="25"/>
      <c r="K719" s="41"/>
      <c r="L719" s="35"/>
      <c r="M719" s="35"/>
      <c r="N719" s="35"/>
      <c r="O719" s="26"/>
      <c r="P719" s="23"/>
      <c r="Q719" s="24"/>
      <c r="R719" s="29"/>
      <c r="S719" s="29"/>
      <c r="T719" s="43"/>
      <c r="U719" s="29"/>
      <c r="V719" s="42"/>
      <c r="W719" s="29"/>
    </row>
    <row r="720" ht="15.75" customHeight="1">
      <c r="A720" s="29"/>
      <c r="B720" s="16"/>
      <c r="C720" s="29"/>
      <c r="D720" s="35"/>
      <c r="E720" s="35"/>
      <c r="F720" s="29"/>
      <c r="G720" s="19"/>
      <c r="H720" s="41"/>
      <c r="I720" s="25"/>
      <c r="J720" s="25"/>
      <c r="K720" s="41"/>
      <c r="L720" s="35"/>
      <c r="M720" s="35"/>
      <c r="N720" s="35"/>
      <c r="O720" s="26"/>
      <c r="P720" s="23"/>
      <c r="Q720" s="24"/>
      <c r="R720" s="29"/>
      <c r="S720" s="29"/>
      <c r="T720" s="43"/>
      <c r="U720" s="29"/>
      <c r="V720" s="42"/>
      <c r="W720" s="29"/>
    </row>
    <row r="721" ht="15.75" customHeight="1">
      <c r="A721" s="29"/>
      <c r="B721" s="16"/>
      <c r="C721" s="29"/>
      <c r="D721" s="35"/>
      <c r="E721" s="35"/>
      <c r="F721" s="29"/>
      <c r="G721" s="19"/>
      <c r="H721" s="41"/>
      <c r="I721" s="25"/>
      <c r="J721" s="25"/>
      <c r="K721" s="41"/>
      <c r="L721" s="35"/>
      <c r="M721" s="35"/>
      <c r="N721" s="35"/>
      <c r="O721" s="26"/>
      <c r="P721" s="23"/>
      <c r="Q721" s="24"/>
      <c r="R721" s="29"/>
      <c r="S721" s="29"/>
      <c r="T721" s="43"/>
      <c r="U721" s="29"/>
      <c r="V721" s="42"/>
      <c r="W721" s="29"/>
    </row>
    <row r="722" ht="15.75" customHeight="1">
      <c r="A722" s="29"/>
      <c r="B722" s="16"/>
      <c r="C722" s="29"/>
      <c r="D722" s="35"/>
      <c r="E722" s="35"/>
      <c r="F722" s="29"/>
      <c r="G722" s="19"/>
      <c r="H722" s="41"/>
      <c r="I722" s="25"/>
      <c r="J722" s="25"/>
      <c r="K722" s="41"/>
      <c r="L722" s="35"/>
      <c r="M722" s="35"/>
      <c r="N722" s="35"/>
      <c r="O722" s="26"/>
      <c r="P722" s="23"/>
      <c r="Q722" s="24"/>
      <c r="R722" s="29"/>
      <c r="S722" s="29"/>
      <c r="T722" s="43"/>
      <c r="U722" s="29"/>
      <c r="V722" s="42"/>
      <c r="W722" s="29"/>
    </row>
    <row r="723" ht="15.75" customHeight="1">
      <c r="A723" s="29"/>
      <c r="B723" s="16"/>
      <c r="C723" s="29"/>
      <c r="D723" s="35"/>
      <c r="E723" s="35"/>
      <c r="F723" s="29"/>
      <c r="G723" s="19"/>
      <c r="H723" s="41"/>
      <c r="I723" s="25"/>
      <c r="J723" s="25"/>
      <c r="K723" s="41"/>
      <c r="L723" s="35"/>
      <c r="M723" s="35"/>
      <c r="N723" s="35"/>
      <c r="O723" s="26"/>
      <c r="P723" s="23"/>
      <c r="Q723" s="24"/>
      <c r="R723" s="29"/>
      <c r="S723" s="29"/>
      <c r="T723" s="43"/>
      <c r="U723" s="29"/>
      <c r="V723" s="42"/>
      <c r="W723" s="29"/>
    </row>
    <row r="724" ht="15.75" customHeight="1">
      <c r="A724" s="29"/>
      <c r="B724" s="16"/>
      <c r="C724" s="29"/>
      <c r="D724" s="35"/>
      <c r="E724" s="35"/>
      <c r="F724" s="29"/>
      <c r="G724" s="19"/>
      <c r="H724" s="41"/>
      <c r="I724" s="25"/>
      <c r="J724" s="25"/>
      <c r="K724" s="41"/>
      <c r="L724" s="35"/>
      <c r="M724" s="35"/>
      <c r="N724" s="35"/>
      <c r="O724" s="26"/>
      <c r="P724" s="23"/>
      <c r="Q724" s="24"/>
      <c r="R724" s="29"/>
      <c r="S724" s="29"/>
      <c r="T724" s="43"/>
      <c r="U724" s="29"/>
      <c r="V724" s="42"/>
      <c r="W724" s="29"/>
    </row>
    <row r="725" ht="15.75" customHeight="1">
      <c r="A725" s="29"/>
      <c r="B725" s="16"/>
      <c r="C725" s="29"/>
      <c r="D725" s="35"/>
      <c r="E725" s="35"/>
      <c r="F725" s="29"/>
      <c r="G725" s="19"/>
      <c r="H725" s="41"/>
      <c r="I725" s="25"/>
      <c r="J725" s="25"/>
      <c r="K725" s="41"/>
      <c r="L725" s="35"/>
      <c r="M725" s="35"/>
      <c r="N725" s="35"/>
      <c r="O725" s="26"/>
      <c r="P725" s="23"/>
      <c r="Q725" s="24"/>
      <c r="R725" s="29"/>
      <c r="S725" s="29"/>
      <c r="T725" s="43"/>
      <c r="U725" s="29"/>
      <c r="V725" s="42"/>
      <c r="W725" s="29"/>
    </row>
    <row r="726" ht="15.75" customHeight="1">
      <c r="A726" s="29"/>
      <c r="B726" s="16"/>
      <c r="C726" s="29"/>
      <c r="D726" s="35"/>
      <c r="E726" s="35"/>
      <c r="F726" s="29"/>
      <c r="G726" s="19"/>
      <c r="H726" s="41"/>
      <c r="I726" s="25"/>
      <c r="J726" s="25"/>
      <c r="K726" s="41"/>
      <c r="L726" s="35"/>
      <c r="M726" s="35"/>
      <c r="N726" s="35"/>
      <c r="O726" s="26"/>
      <c r="P726" s="23"/>
      <c r="Q726" s="24"/>
      <c r="R726" s="29"/>
      <c r="S726" s="29"/>
      <c r="T726" s="43"/>
      <c r="U726" s="29"/>
      <c r="V726" s="42"/>
      <c r="W726" s="29"/>
    </row>
    <row r="727" ht="15.75" customHeight="1">
      <c r="A727" s="29"/>
      <c r="B727" s="16"/>
      <c r="C727" s="29"/>
      <c r="D727" s="35"/>
      <c r="E727" s="35"/>
      <c r="F727" s="29"/>
      <c r="G727" s="19"/>
      <c r="H727" s="41"/>
      <c r="I727" s="25"/>
      <c r="J727" s="25"/>
      <c r="K727" s="41"/>
      <c r="L727" s="35"/>
      <c r="M727" s="35"/>
      <c r="N727" s="35"/>
      <c r="O727" s="26"/>
      <c r="P727" s="23"/>
      <c r="Q727" s="24"/>
      <c r="R727" s="29"/>
      <c r="S727" s="29"/>
      <c r="T727" s="43"/>
      <c r="U727" s="29"/>
      <c r="V727" s="42"/>
      <c r="W727" s="29"/>
    </row>
    <row r="728" ht="15.75" customHeight="1">
      <c r="A728" s="29"/>
      <c r="B728" s="16"/>
      <c r="C728" s="29"/>
      <c r="D728" s="35"/>
      <c r="E728" s="35"/>
      <c r="F728" s="29"/>
      <c r="G728" s="19"/>
      <c r="H728" s="41"/>
      <c r="I728" s="25"/>
      <c r="J728" s="25"/>
      <c r="K728" s="41"/>
      <c r="L728" s="35"/>
      <c r="M728" s="35"/>
      <c r="N728" s="35"/>
      <c r="O728" s="26"/>
      <c r="P728" s="23"/>
      <c r="Q728" s="24"/>
      <c r="R728" s="29"/>
      <c r="S728" s="29"/>
      <c r="T728" s="43"/>
      <c r="U728" s="29"/>
      <c r="V728" s="42"/>
      <c r="W728" s="29"/>
    </row>
    <row r="729" ht="15.75" customHeight="1">
      <c r="A729" s="29"/>
      <c r="B729" s="16"/>
      <c r="C729" s="29"/>
      <c r="D729" s="35"/>
      <c r="E729" s="35"/>
      <c r="F729" s="29"/>
      <c r="G729" s="19"/>
      <c r="H729" s="41"/>
      <c r="I729" s="25"/>
      <c r="J729" s="25"/>
      <c r="K729" s="41"/>
      <c r="L729" s="35"/>
      <c r="M729" s="35"/>
      <c r="N729" s="35"/>
      <c r="O729" s="26"/>
      <c r="P729" s="23"/>
      <c r="Q729" s="24"/>
      <c r="R729" s="29"/>
      <c r="S729" s="29"/>
      <c r="T729" s="43"/>
      <c r="U729" s="29"/>
      <c r="V729" s="42"/>
      <c r="W729" s="29"/>
    </row>
    <row r="730" ht="15.75" customHeight="1">
      <c r="A730" s="29"/>
      <c r="B730" s="16"/>
      <c r="C730" s="29"/>
      <c r="D730" s="35"/>
      <c r="E730" s="35"/>
      <c r="F730" s="29"/>
      <c r="G730" s="19"/>
      <c r="H730" s="41"/>
      <c r="I730" s="25"/>
      <c r="J730" s="25"/>
      <c r="K730" s="41"/>
      <c r="L730" s="35"/>
      <c r="M730" s="35"/>
      <c r="N730" s="35"/>
      <c r="O730" s="26"/>
      <c r="P730" s="23"/>
      <c r="Q730" s="24"/>
      <c r="R730" s="29"/>
      <c r="S730" s="29"/>
      <c r="T730" s="43"/>
      <c r="U730" s="29"/>
      <c r="V730" s="42"/>
      <c r="W730" s="29"/>
    </row>
    <row r="731" ht="15.75" customHeight="1">
      <c r="A731" s="29"/>
      <c r="B731" s="16"/>
      <c r="C731" s="29"/>
      <c r="D731" s="35"/>
      <c r="E731" s="35"/>
      <c r="F731" s="29"/>
      <c r="G731" s="19"/>
      <c r="H731" s="41"/>
      <c r="I731" s="25"/>
      <c r="J731" s="25"/>
      <c r="K731" s="41"/>
      <c r="L731" s="35"/>
      <c r="M731" s="35"/>
      <c r="N731" s="35"/>
      <c r="O731" s="26"/>
      <c r="P731" s="23"/>
      <c r="Q731" s="24"/>
      <c r="R731" s="29"/>
      <c r="S731" s="29"/>
      <c r="T731" s="43"/>
      <c r="U731" s="29"/>
      <c r="V731" s="42"/>
      <c r="W731" s="29"/>
    </row>
    <row r="732" ht="15.75" customHeight="1">
      <c r="A732" s="29"/>
      <c r="B732" s="16"/>
      <c r="C732" s="29"/>
      <c r="D732" s="35"/>
      <c r="E732" s="35"/>
      <c r="F732" s="29"/>
      <c r="G732" s="19"/>
      <c r="H732" s="41"/>
      <c r="I732" s="25"/>
      <c r="J732" s="25"/>
      <c r="K732" s="41"/>
      <c r="L732" s="35"/>
      <c r="M732" s="35"/>
      <c r="N732" s="35"/>
      <c r="O732" s="26"/>
      <c r="P732" s="23"/>
      <c r="Q732" s="24"/>
      <c r="R732" s="29"/>
      <c r="S732" s="29"/>
      <c r="T732" s="43"/>
      <c r="U732" s="29"/>
      <c r="V732" s="42"/>
      <c r="W732" s="29"/>
    </row>
    <row r="733" ht="15.75" customHeight="1">
      <c r="A733" s="29"/>
      <c r="B733" s="16"/>
      <c r="C733" s="29"/>
      <c r="D733" s="35"/>
      <c r="E733" s="35"/>
      <c r="F733" s="29"/>
      <c r="G733" s="19"/>
      <c r="H733" s="41"/>
      <c r="I733" s="25"/>
      <c r="J733" s="25"/>
      <c r="K733" s="41"/>
      <c r="L733" s="35"/>
      <c r="M733" s="35"/>
      <c r="N733" s="35"/>
      <c r="O733" s="26"/>
      <c r="P733" s="23"/>
      <c r="Q733" s="24"/>
      <c r="R733" s="29"/>
      <c r="S733" s="29"/>
      <c r="T733" s="43"/>
      <c r="U733" s="29"/>
      <c r="V733" s="42"/>
      <c r="W733" s="29"/>
    </row>
    <row r="734" ht="15.75" customHeight="1">
      <c r="A734" s="29"/>
      <c r="B734" s="16"/>
      <c r="C734" s="29"/>
      <c r="D734" s="35"/>
      <c r="E734" s="35"/>
      <c r="F734" s="29"/>
      <c r="G734" s="19"/>
      <c r="H734" s="41"/>
      <c r="I734" s="25"/>
      <c r="J734" s="25"/>
      <c r="K734" s="41"/>
      <c r="L734" s="35"/>
      <c r="M734" s="35"/>
      <c r="N734" s="35"/>
      <c r="O734" s="26"/>
      <c r="P734" s="23"/>
      <c r="Q734" s="24"/>
      <c r="R734" s="29"/>
      <c r="S734" s="29"/>
      <c r="T734" s="43"/>
      <c r="U734" s="29"/>
      <c r="V734" s="42"/>
      <c r="W734" s="29"/>
    </row>
    <row r="735" ht="15.75" customHeight="1">
      <c r="A735" s="29"/>
      <c r="B735" s="16"/>
      <c r="C735" s="29"/>
      <c r="D735" s="35"/>
      <c r="E735" s="35"/>
      <c r="F735" s="29"/>
      <c r="G735" s="19"/>
      <c r="H735" s="41"/>
      <c r="I735" s="25"/>
      <c r="J735" s="25"/>
      <c r="K735" s="41"/>
      <c r="L735" s="35"/>
      <c r="M735" s="35"/>
      <c r="N735" s="35"/>
      <c r="O735" s="26"/>
      <c r="P735" s="23"/>
      <c r="Q735" s="24"/>
      <c r="R735" s="29"/>
      <c r="S735" s="29"/>
      <c r="T735" s="43"/>
      <c r="U735" s="29"/>
      <c r="V735" s="42"/>
      <c r="W735" s="29"/>
    </row>
    <row r="736" ht="15.75" customHeight="1">
      <c r="A736" s="29"/>
      <c r="B736" s="16"/>
      <c r="C736" s="29"/>
      <c r="D736" s="35"/>
      <c r="E736" s="35"/>
      <c r="F736" s="29"/>
      <c r="G736" s="19"/>
      <c r="H736" s="41"/>
      <c r="I736" s="25"/>
      <c r="J736" s="25"/>
      <c r="K736" s="41"/>
      <c r="L736" s="35"/>
      <c r="M736" s="35"/>
      <c r="N736" s="35"/>
      <c r="O736" s="26"/>
      <c r="P736" s="23"/>
      <c r="Q736" s="24"/>
      <c r="R736" s="29"/>
      <c r="S736" s="29"/>
      <c r="T736" s="43"/>
      <c r="U736" s="29"/>
      <c r="V736" s="42"/>
      <c r="W736" s="29"/>
    </row>
    <row r="737" ht="15.75" customHeight="1">
      <c r="A737" s="29"/>
      <c r="B737" s="16"/>
      <c r="C737" s="29"/>
      <c r="D737" s="35"/>
      <c r="E737" s="35"/>
      <c r="F737" s="29"/>
      <c r="G737" s="19"/>
      <c r="H737" s="41"/>
      <c r="I737" s="25"/>
      <c r="J737" s="25"/>
      <c r="K737" s="41"/>
      <c r="L737" s="35"/>
      <c r="M737" s="35"/>
      <c r="N737" s="35"/>
      <c r="O737" s="26"/>
      <c r="P737" s="23"/>
      <c r="Q737" s="24"/>
      <c r="R737" s="29"/>
      <c r="S737" s="29"/>
      <c r="T737" s="43"/>
      <c r="U737" s="29"/>
      <c r="V737" s="42"/>
      <c r="W737" s="29"/>
    </row>
    <row r="738" ht="15.75" customHeight="1">
      <c r="A738" s="29"/>
      <c r="B738" s="16"/>
      <c r="C738" s="29"/>
      <c r="D738" s="35"/>
      <c r="E738" s="35"/>
      <c r="F738" s="29"/>
      <c r="G738" s="19"/>
      <c r="H738" s="41"/>
      <c r="I738" s="25"/>
      <c r="J738" s="25"/>
      <c r="K738" s="41"/>
      <c r="L738" s="35"/>
      <c r="M738" s="35"/>
      <c r="N738" s="35"/>
      <c r="O738" s="26"/>
      <c r="P738" s="23"/>
      <c r="Q738" s="24"/>
      <c r="R738" s="29"/>
      <c r="S738" s="29"/>
      <c r="T738" s="43"/>
      <c r="U738" s="29"/>
      <c r="V738" s="42"/>
      <c r="W738" s="29"/>
    </row>
    <row r="739" ht="15.75" customHeight="1">
      <c r="A739" s="29"/>
      <c r="B739" s="16"/>
      <c r="C739" s="29"/>
      <c r="D739" s="35"/>
      <c r="E739" s="35"/>
      <c r="F739" s="29"/>
      <c r="G739" s="19"/>
      <c r="H739" s="41"/>
      <c r="I739" s="25"/>
      <c r="J739" s="25"/>
      <c r="K739" s="41"/>
      <c r="L739" s="35"/>
      <c r="M739" s="35"/>
      <c r="N739" s="35"/>
      <c r="O739" s="26"/>
      <c r="P739" s="23"/>
      <c r="Q739" s="24"/>
      <c r="R739" s="29"/>
      <c r="S739" s="29"/>
      <c r="T739" s="43"/>
      <c r="U739" s="29"/>
      <c r="V739" s="42"/>
      <c r="W739" s="29"/>
    </row>
    <row r="740" ht="15.75" customHeight="1">
      <c r="A740" s="29"/>
      <c r="B740" s="16"/>
      <c r="C740" s="29"/>
      <c r="D740" s="35"/>
      <c r="E740" s="35"/>
      <c r="F740" s="29"/>
      <c r="G740" s="19"/>
      <c r="H740" s="41"/>
      <c r="I740" s="25"/>
      <c r="J740" s="25"/>
      <c r="K740" s="41"/>
      <c r="L740" s="35"/>
      <c r="M740" s="35"/>
      <c r="N740" s="35"/>
      <c r="O740" s="26"/>
      <c r="P740" s="23"/>
      <c r="Q740" s="24"/>
      <c r="R740" s="29"/>
      <c r="S740" s="29"/>
      <c r="T740" s="43"/>
      <c r="U740" s="29"/>
      <c r="V740" s="42"/>
      <c r="W740" s="29"/>
    </row>
    <row r="741" ht="15.75" customHeight="1">
      <c r="A741" s="29"/>
      <c r="B741" s="16"/>
      <c r="C741" s="29"/>
      <c r="D741" s="35"/>
      <c r="E741" s="35"/>
      <c r="F741" s="29"/>
      <c r="G741" s="19"/>
      <c r="H741" s="41"/>
      <c r="I741" s="25"/>
      <c r="J741" s="25"/>
      <c r="K741" s="41"/>
      <c r="L741" s="35"/>
      <c r="M741" s="35"/>
      <c r="N741" s="35"/>
      <c r="O741" s="26"/>
      <c r="P741" s="23"/>
      <c r="Q741" s="24"/>
      <c r="R741" s="29"/>
      <c r="S741" s="29"/>
      <c r="T741" s="43"/>
      <c r="U741" s="29"/>
      <c r="V741" s="42"/>
      <c r="W741" s="29"/>
    </row>
    <row r="742" ht="15.75" customHeight="1">
      <c r="A742" s="29"/>
      <c r="B742" s="16"/>
      <c r="C742" s="29"/>
      <c r="D742" s="35"/>
      <c r="E742" s="35"/>
      <c r="F742" s="29"/>
      <c r="G742" s="19"/>
      <c r="H742" s="41"/>
      <c r="I742" s="25"/>
      <c r="J742" s="25"/>
      <c r="K742" s="41"/>
      <c r="L742" s="35"/>
      <c r="M742" s="35"/>
      <c r="N742" s="35"/>
      <c r="O742" s="26"/>
      <c r="P742" s="23"/>
      <c r="Q742" s="24"/>
      <c r="R742" s="29"/>
      <c r="S742" s="29"/>
      <c r="T742" s="43"/>
      <c r="U742" s="29"/>
      <c r="V742" s="42"/>
      <c r="W742" s="29"/>
    </row>
    <row r="743" ht="15.75" customHeight="1">
      <c r="A743" s="29"/>
      <c r="B743" s="16"/>
      <c r="C743" s="29"/>
      <c r="D743" s="35"/>
      <c r="E743" s="35"/>
      <c r="F743" s="29"/>
      <c r="G743" s="19"/>
      <c r="H743" s="41"/>
      <c r="I743" s="25"/>
      <c r="J743" s="25"/>
      <c r="K743" s="41"/>
      <c r="L743" s="35"/>
      <c r="M743" s="35"/>
      <c r="N743" s="35"/>
      <c r="O743" s="26"/>
      <c r="P743" s="23"/>
      <c r="Q743" s="24"/>
      <c r="R743" s="29"/>
      <c r="S743" s="29"/>
      <c r="T743" s="43"/>
      <c r="U743" s="29"/>
      <c r="V743" s="42"/>
      <c r="W743" s="29"/>
    </row>
    <row r="744" ht="15.75" customHeight="1">
      <c r="A744" s="29"/>
      <c r="B744" s="16"/>
      <c r="C744" s="29"/>
      <c r="D744" s="35"/>
      <c r="E744" s="35"/>
      <c r="F744" s="29"/>
      <c r="G744" s="19"/>
      <c r="H744" s="41"/>
      <c r="I744" s="25"/>
      <c r="J744" s="25"/>
      <c r="K744" s="41"/>
      <c r="L744" s="35"/>
      <c r="M744" s="35"/>
      <c r="N744" s="35"/>
      <c r="O744" s="26"/>
      <c r="P744" s="23"/>
      <c r="Q744" s="24"/>
      <c r="R744" s="29"/>
      <c r="S744" s="29"/>
      <c r="T744" s="43"/>
      <c r="U744" s="29"/>
      <c r="V744" s="42"/>
      <c r="W744" s="29"/>
    </row>
    <row r="745" ht="15.75" customHeight="1">
      <c r="A745" s="29"/>
      <c r="B745" s="16"/>
      <c r="C745" s="29"/>
      <c r="D745" s="35"/>
      <c r="E745" s="35"/>
      <c r="F745" s="29"/>
      <c r="G745" s="19"/>
      <c r="H745" s="41"/>
      <c r="I745" s="25"/>
      <c r="J745" s="25"/>
      <c r="K745" s="41"/>
      <c r="L745" s="35"/>
      <c r="M745" s="35"/>
      <c r="N745" s="35"/>
      <c r="O745" s="26"/>
      <c r="P745" s="23"/>
      <c r="Q745" s="24"/>
      <c r="R745" s="29"/>
      <c r="S745" s="29"/>
      <c r="T745" s="43"/>
      <c r="U745" s="29"/>
      <c r="V745" s="42"/>
      <c r="W745" s="29"/>
    </row>
    <row r="746" ht="15.75" customHeight="1">
      <c r="A746" s="29"/>
      <c r="B746" s="16"/>
      <c r="C746" s="29"/>
      <c r="D746" s="35"/>
      <c r="E746" s="35"/>
      <c r="F746" s="29"/>
      <c r="G746" s="19"/>
      <c r="H746" s="41"/>
      <c r="I746" s="25"/>
      <c r="J746" s="25"/>
      <c r="K746" s="41"/>
      <c r="L746" s="35"/>
      <c r="M746" s="35"/>
      <c r="N746" s="35"/>
      <c r="O746" s="26"/>
      <c r="P746" s="23"/>
      <c r="Q746" s="24"/>
      <c r="R746" s="29"/>
      <c r="S746" s="29"/>
      <c r="T746" s="43"/>
      <c r="U746" s="29"/>
      <c r="V746" s="42"/>
      <c r="W746" s="29"/>
    </row>
    <row r="747" ht="15.75" customHeight="1">
      <c r="A747" s="29"/>
      <c r="B747" s="16"/>
      <c r="C747" s="29"/>
      <c r="D747" s="35"/>
      <c r="E747" s="35"/>
      <c r="F747" s="29"/>
      <c r="G747" s="19"/>
      <c r="H747" s="41"/>
      <c r="I747" s="25"/>
      <c r="J747" s="25"/>
      <c r="K747" s="41"/>
      <c r="L747" s="35"/>
      <c r="M747" s="35"/>
      <c r="N747" s="35"/>
      <c r="O747" s="26"/>
      <c r="P747" s="23"/>
      <c r="Q747" s="24"/>
      <c r="R747" s="29"/>
      <c r="S747" s="29"/>
      <c r="T747" s="43"/>
      <c r="U747" s="29"/>
      <c r="V747" s="42"/>
      <c r="W747" s="29"/>
    </row>
    <row r="748" ht="15.75" customHeight="1">
      <c r="A748" s="29"/>
      <c r="B748" s="16"/>
      <c r="C748" s="29"/>
      <c r="D748" s="35"/>
      <c r="E748" s="35"/>
      <c r="F748" s="29"/>
      <c r="G748" s="19"/>
      <c r="H748" s="41"/>
      <c r="I748" s="25"/>
      <c r="J748" s="25"/>
      <c r="K748" s="41"/>
      <c r="L748" s="35"/>
      <c r="M748" s="35"/>
      <c r="N748" s="35"/>
      <c r="O748" s="26"/>
      <c r="P748" s="23"/>
      <c r="Q748" s="24"/>
      <c r="R748" s="29"/>
      <c r="S748" s="29"/>
      <c r="T748" s="43"/>
      <c r="U748" s="29"/>
      <c r="V748" s="42"/>
      <c r="W748" s="29"/>
    </row>
    <row r="749" ht="15.75" customHeight="1">
      <c r="A749" s="29"/>
      <c r="B749" s="16"/>
      <c r="C749" s="29"/>
      <c r="D749" s="35"/>
      <c r="E749" s="35"/>
      <c r="F749" s="29"/>
      <c r="G749" s="19"/>
      <c r="H749" s="41"/>
      <c r="I749" s="25"/>
      <c r="J749" s="25"/>
      <c r="K749" s="41"/>
      <c r="L749" s="35"/>
      <c r="M749" s="35"/>
      <c r="N749" s="35"/>
      <c r="O749" s="26"/>
      <c r="P749" s="23"/>
      <c r="Q749" s="24"/>
      <c r="R749" s="29"/>
      <c r="S749" s="29"/>
      <c r="T749" s="43"/>
      <c r="U749" s="29"/>
      <c r="V749" s="42"/>
      <c r="W749" s="29"/>
    </row>
    <row r="750" ht="15.75" customHeight="1">
      <c r="A750" s="29"/>
      <c r="B750" s="16"/>
      <c r="C750" s="29"/>
      <c r="D750" s="35"/>
      <c r="E750" s="35"/>
      <c r="F750" s="29"/>
      <c r="G750" s="19"/>
      <c r="H750" s="41"/>
      <c r="I750" s="25"/>
      <c r="J750" s="25"/>
      <c r="K750" s="41"/>
      <c r="L750" s="35"/>
      <c r="M750" s="35"/>
      <c r="N750" s="35"/>
      <c r="O750" s="26"/>
      <c r="P750" s="23"/>
      <c r="Q750" s="24"/>
      <c r="R750" s="29"/>
      <c r="S750" s="29"/>
      <c r="T750" s="43"/>
      <c r="U750" s="29"/>
      <c r="V750" s="42"/>
      <c r="W750" s="29"/>
    </row>
    <row r="751" ht="15.75" customHeight="1">
      <c r="A751" s="29"/>
      <c r="B751" s="16"/>
      <c r="C751" s="29"/>
      <c r="D751" s="35"/>
      <c r="E751" s="35"/>
      <c r="F751" s="29"/>
      <c r="G751" s="19"/>
      <c r="H751" s="41"/>
      <c r="I751" s="25"/>
      <c r="J751" s="25"/>
      <c r="K751" s="41"/>
      <c r="L751" s="35"/>
      <c r="M751" s="35"/>
      <c r="N751" s="35"/>
      <c r="O751" s="26"/>
      <c r="P751" s="23"/>
      <c r="Q751" s="24"/>
      <c r="R751" s="29"/>
      <c r="S751" s="29"/>
      <c r="T751" s="43"/>
      <c r="U751" s="29"/>
      <c r="V751" s="42"/>
      <c r="W751" s="29"/>
    </row>
    <row r="752" ht="15.75" customHeight="1">
      <c r="A752" s="29"/>
      <c r="B752" s="16"/>
      <c r="C752" s="29"/>
      <c r="D752" s="35"/>
      <c r="E752" s="35"/>
      <c r="F752" s="29"/>
      <c r="G752" s="19"/>
      <c r="H752" s="41"/>
      <c r="I752" s="25"/>
      <c r="J752" s="25"/>
      <c r="K752" s="41"/>
      <c r="L752" s="35"/>
      <c r="M752" s="35"/>
      <c r="N752" s="35"/>
      <c r="O752" s="26"/>
      <c r="P752" s="23"/>
      <c r="Q752" s="24"/>
      <c r="R752" s="29"/>
      <c r="S752" s="29"/>
      <c r="T752" s="43"/>
      <c r="U752" s="29"/>
      <c r="V752" s="42"/>
      <c r="W752" s="29"/>
    </row>
    <row r="753" ht="15.75" customHeight="1">
      <c r="A753" s="29"/>
      <c r="B753" s="16"/>
      <c r="C753" s="29"/>
      <c r="D753" s="35"/>
      <c r="E753" s="35"/>
      <c r="F753" s="29"/>
      <c r="G753" s="19"/>
      <c r="H753" s="41"/>
      <c r="I753" s="25"/>
      <c r="J753" s="25"/>
      <c r="K753" s="41"/>
      <c r="L753" s="35"/>
      <c r="M753" s="35"/>
      <c r="N753" s="35"/>
      <c r="O753" s="26"/>
      <c r="P753" s="23"/>
      <c r="Q753" s="24"/>
      <c r="R753" s="29"/>
      <c r="S753" s="29"/>
      <c r="T753" s="43"/>
      <c r="U753" s="29"/>
      <c r="V753" s="42"/>
      <c r="W753" s="29"/>
    </row>
    <row r="754" ht="15.75" customHeight="1">
      <c r="A754" s="29"/>
      <c r="B754" s="16"/>
      <c r="C754" s="29"/>
      <c r="D754" s="35"/>
      <c r="E754" s="35"/>
      <c r="F754" s="29"/>
      <c r="G754" s="19"/>
      <c r="H754" s="41"/>
      <c r="I754" s="25"/>
      <c r="J754" s="25"/>
      <c r="K754" s="41"/>
      <c r="L754" s="35"/>
      <c r="M754" s="35"/>
      <c r="N754" s="35"/>
      <c r="O754" s="26"/>
      <c r="P754" s="23"/>
      <c r="Q754" s="24"/>
      <c r="R754" s="29"/>
      <c r="S754" s="29"/>
      <c r="T754" s="43"/>
      <c r="U754" s="29"/>
      <c r="V754" s="42"/>
      <c r="W754" s="29"/>
    </row>
    <row r="755" ht="15.75" customHeight="1">
      <c r="A755" s="29"/>
      <c r="B755" s="16"/>
      <c r="C755" s="29"/>
      <c r="D755" s="35"/>
      <c r="E755" s="35"/>
      <c r="F755" s="29"/>
      <c r="G755" s="19"/>
      <c r="H755" s="41"/>
      <c r="I755" s="25"/>
      <c r="J755" s="25"/>
      <c r="K755" s="41"/>
      <c r="L755" s="35"/>
      <c r="M755" s="35"/>
      <c r="N755" s="35"/>
      <c r="O755" s="26"/>
      <c r="P755" s="23"/>
      <c r="Q755" s="24"/>
      <c r="R755" s="29"/>
      <c r="S755" s="29"/>
      <c r="T755" s="43"/>
      <c r="U755" s="29"/>
      <c r="V755" s="42"/>
      <c r="W755" s="29"/>
    </row>
    <row r="756" ht="15.75" customHeight="1">
      <c r="A756" s="29"/>
      <c r="B756" s="16"/>
      <c r="C756" s="29"/>
      <c r="D756" s="35"/>
      <c r="E756" s="35"/>
      <c r="F756" s="29"/>
      <c r="G756" s="19"/>
      <c r="H756" s="41"/>
      <c r="I756" s="25"/>
      <c r="J756" s="25"/>
      <c r="K756" s="41"/>
      <c r="L756" s="35"/>
      <c r="M756" s="35"/>
      <c r="N756" s="35"/>
      <c r="O756" s="26"/>
      <c r="P756" s="23"/>
      <c r="Q756" s="24"/>
      <c r="R756" s="29"/>
      <c r="S756" s="29"/>
      <c r="T756" s="43"/>
      <c r="U756" s="29"/>
      <c r="V756" s="42"/>
      <c r="W756" s="29"/>
    </row>
    <row r="757" ht="15.75" customHeight="1">
      <c r="A757" s="29"/>
      <c r="B757" s="16"/>
      <c r="C757" s="29"/>
      <c r="D757" s="35"/>
      <c r="E757" s="35"/>
      <c r="F757" s="29"/>
      <c r="G757" s="19"/>
      <c r="H757" s="41"/>
      <c r="I757" s="25"/>
      <c r="J757" s="25"/>
      <c r="K757" s="41"/>
      <c r="L757" s="35"/>
      <c r="M757" s="35"/>
      <c r="N757" s="35"/>
      <c r="O757" s="26"/>
      <c r="P757" s="23"/>
      <c r="Q757" s="24"/>
      <c r="R757" s="29"/>
      <c r="S757" s="29"/>
      <c r="T757" s="43"/>
      <c r="U757" s="29"/>
      <c r="V757" s="42"/>
      <c r="W757" s="29"/>
    </row>
    <row r="758" ht="15.75" customHeight="1">
      <c r="A758" s="29"/>
      <c r="B758" s="16"/>
      <c r="C758" s="29"/>
      <c r="D758" s="35"/>
      <c r="E758" s="35"/>
      <c r="F758" s="29"/>
      <c r="G758" s="19"/>
      <c r="H758" s="41"/>
      <c r="I758" s="25"/>
      <c r="J758" s="25"/>
      <c r="K758" s="41"/>
      <c r="L758" s="35"/>
      <c r="M758" s="35"/>
      <c r="N758" s="35"/>
      <c r="O758" s="26"/>
      <c r="P758" s="23"/>
      <c r="Q758" s="24"/>
      <c r="R758" s="29"/>
      <c r="S758" s="29"/>
      <c r="T758" s="43"/>
      <c r="U758" s="29"/>
      <c r="V758" s="42"/>
      <c r="W758" s="29"/>
    </row>
    <row r="759" ht="15.75" customHeight="1">
      <c r="A759" s="29"/>
      <c r="B759" s="16"/>
      <c r="C759" s="29"/>
      <c r="D759" s="35"/>
      <c r="E759" s="35"/>
      <c r="F759" s="29"/>
      <c r="G759" s="19"/>
      <c r="H759" s="41"/>
      <c r="I759" s="25"/>
      <c r="J759" s="25"/>
      <c r="K759" s="41"/>
      <c r="L759" s="35"/>
      <c r="M759" s="35"/>
      <c r="N759" s="35"/>
      <c r="O759" s="26"/>
      <c r="P759" s="23"/>
      <c r="Q759" s="24"/>
      <c r="R759" s="29"/>
      <c r="S759" s="29"/>
      <c r="T759" s="43"/>
      <c r="U759" s="29"/>
      <c r="V759" s="42"/>
      <c r="W759" s="29"/>
    </row>
    <row r="760" ht="15.75" customHeight="1">
      <c r="A760" s="29"/>
      <c r="B760" s="16"/>
      <c r="C760" s="29"/>
      <c r="D760" s="35"/>
      <c r="E760" s="35"/>
      <c r="F760" s="29"/>
      <c r="G760" s="19"/>
      <c r="H760" s="41"/>
      <c r="I760" s="25"/>
      <c r="J760" s="25"/>
      <c r="K760" s="41"/>
      <c r="L760" s="35"/>
      <c r="M760" s="35"/>
      <c r="N760" s="35"/>
      <c r="O760" s="26"/>
      <c r="P760" s="23"/>
      <c r="Q760" s="24"/>
      <c r="R760" s="29"/>
      <c r="S760" s="29"/>
      <c r="T760" s="43"/>
      <c r="U760" s="29"/>
      <c r="V760" s="42"/>
      <c r="W760" s="29"/>
    </row>
    <row r="761" ht="15.75" customHeight="1">
      <c r="A761" s="29"/>
      <c r="B761" s="16"/>
      <c r="C761" s="29"/>
      <c r="D761" s="35"/>
      <c r="E761" s="35"/>
      <c r="F761" s="29"/>
      <c r="G761" s="19"/>
      <c r="H761" s="41"/>
      <c r="I761" s="25"/>
      <c r="J761" s="25"/>
      <c r="K761" s="41"/>
      <c r="L761" s="35"/>
      <c r="M761" s="35"/>
      <c r="N761" s="35"/>
      <c r="O761" s="26"/>
      <c r="P761" s="23"/>
      <c r="Q761" s="24"/>
      <c r="R761" s="29"/>
      <c r="S761" s="29"/>
      <c r="T761" s="43"/>
      <c r="U761" s="29"/>
      <c r="V761" s="42"/>
      <c r="W761" s="29"/>
    </row>
    <row r="762" ht="15.75" customHeight="1">
      <c r="A762" s="29"/>
      <c r="B762" s="16"/>
      <c r="C762" s="29"/>
      <c r="D762" s="35"/>
      <c r="E762" s="35"/>
      <c r="F762" s="29"/>
      <c r="G762" s="19"/>
      <c r="H762" s="41"/>
      <c r="I762" s="25"/>
      <c r="J762" s="25"/>
      <c r="K762" s="41"/>
      <c r="L762" s="35"/>
      <c r="M762" s="35"/>
      <c r="N762" s="35"/>
      <c r="O762" s="26"/>
      <c r="P762" s="23"/>
      <c r="Q762" s="24"/>
      <c r="R762" s="29"/>
      <c r="S762" s="29"/>
      <c r="T762" s="43"/>
      <c r="U762" s="29"/>
      <c r="V762" s="42"/>
      <c r="W762" s="29"/>
    </row>
    <row r="763" ht="15.75" customHeight="1">
      <c r="A763" s="29"/>
      <c r="B763" s="16"/>
      <c r="C763" s="29"/>
      <c r="D763" s="35"/>
      <c r="E763" s="35"/>
      <c r="F763" s="29"/>
      <c r="G763" s="19"/>
      <c r="H763" s="41"/>
      <c r="I763" s="25"/>
      <c r="J763" s="25"/>
      <c r="K763" s="41"/>
      <c r="L763" s="35"/>
      <c r="M763" s="35"/>
      <c r="N763" s="35"/>
      <c r="O763" s="26"/>
      <c r="P763" s="23"/>
      <c r="Q763" s="24"/>
      <c r="R763" s="29"/>
      <c r="S763" s="29"/>
      <c r="T763" s="43"/>
      <c r="U763" s="29"/>
      <c r="V763" s="42"/>
      <c r="W763" s="29"/>
    </row>
    <row r="764" ht="15.75" customHeight="1">
      <c r="A764" s="29"/>
      <c r="B764" s="16"/>
      <c r="C764" s="29"/>
      <c r="D764" s="35"/>
      <c r="E764" s="35"/>
      <c r="F764" s="29"/>
      <c r="G764" s="19"/>
      <c r="H764" s="41"/>
      <c r="I764" s="25"/>
      <c r="J764" s="25"/>
      <c r="K764" s="41"/>
      <c r="L764" s="35"/>
      <c r="M764" s="35"/>
      <c r="N764" s="35"/>
      <c r="O764" s="26"/>
      <c r="P764" s="23"/>
      <c r="Q764" s="24"/>
      <c r="R764" s="29"/>
      <c r="S764" s="29"/>
      <c r="T764" s="43"/>
      <c r="U764" s="29"/>
      <c r="V764" s="42"/>
      <c r="W764" s="29"/>
    </row>
    <row r="765" ht="15.75" customHeight="1">
      <c r="A765" s="29"/>
      <c r="B765" s="16"/>
      <c r="C765" s="29"/>
      <c r="D765" s="35"/>
      <c r="E765" s="35"/>
      <c r="F765" s="29"/>
      <c r="G765" s="19"/>
      <c r="H765" s="41"/>
      <c r="I765" s="25"/>
      <c r="J765" s="25"/>
      <c r="K765" s="41"/>
      <c r="L765" s="35"/>
      <c r="M765" s="35"/>
      <c r="N765" s="35"/>
      <c r="O765" s="26"/>
      <c r="P765" s="23"/>
      <c r="Q765" s="24"/>
      <c r="R765" s="29"/>
      <c r="S765" s="29"/>
      <c r="T765" s="43"/>
      <c r="U765" s="29"/>
      <c r="V765" s="42"/>
      <c r="W765" s="29"/>
    </row>
    <row r="766" ht="15.75" customHeight="1">
      <c r="A766" s="29"/>
      <c r="B766" s="16"/>
      <c r="C766" s="29"/>
      <c r="D766" s="35"/>
      <c r="E766" s="35"/>
      <c r="F766" s="29"/>
      <c r="G766" s="19"/>
      <c r="H766" s="41"/>
      <c r="I766" s="25"/>
      <c r="J766" s="25"/>
      <c r="K766" s="41"/>
      <c r="L766" s="35"/>
      <c r="M766" s="35"/>
      <c r="N766" s="35"/>
      <c r="O766" s="26"/>
      <c r="P766" s="23"/>
      <c r="Q766" s="24"/>
      <c r="R766" s="29"/>
      <c r="S766" s="29"/>
      <c r="T766" s="43"/>
      <c r="U766" s="29"/>
      <c r="V766" s="42"/>
      <c r="W766" s="29"/>
    </row>
    <row r="767" ht="15.75" customHeight="1">
      <c r="A767" s="29"/>
      <c r="B767" s="16"/>
      <c r="C767" s="29"/>
      <c r="D767" s="35"/>
      <c r="E767" s="35"/>
      <c r="F767" s="29"/>
      <c r="G767" s="19"/>
      <c r="H767" s="41"/>
      <c r="I767" s="25"/>
      <c r="J767" s="25"/>
      <c r="K767" s="41"/>
      <c r="L767" s="35"/>
      <c r="M767" s="35"/>
      <c r="N767" s="35"/>
      <c r="O767" s="26"/>
      <c r="P767" s="23"/>
      <c r="Q767" s="24"/>
      <c r="R767" s="29"/>
      <c r="S767" s="29"/>
      <c r="T767" s="43"/>
      <c r="U767" s="29"/>
      <c r="V767" s="42"/>
      <c r="W767" s="29"/>
    </row>
    <row r="768" ht="15.75" customHeight="1">
      <c r="A768" s="29"/>
      <c r="B768" s="16"/>
      <c r="C768" s="29"/>
      <c r="D768" s="35"/>
      <c r="E768" s="35"/>
      <c r="F768" s="29"/>
      <c r="G768" s="19"/>
      <c r="H768" s="41"/>
      <c r="I768" s="25"/>
      <c r="J768" s="25"/>
      <c r="K768" s="41"/>
      <c r="L768" s="35"/>
      <c r="M768" s="35"/>
      <c r="N768" s="35"/>
      <c r="O768" s="26"/>
      <c r="P768" s="23"/>
      <c r="Q768" s="24"/>
      <c r="R768" s="29"/>
      <c r="S768" s="29"/>
      <c r="T768" s="43"/>
      <c r="U768" s="29"/>
      <c r="V768" s="42"/>
      <c r="W768" s="29"/>
    </row>
    <row r="769" ht="15.75" customHeight="1">
      <c r="A769" s="29"/>
      <c r="B769" s="16"/>
      <c r="C769" s="29"/>
      <c r="D769" s="35"/>
      <c r="E769" s="35"/>
      <c r="F769" s="29"/>
      <c r="G769" s="19"/>
      <c r="H769" s="41"/>
      <c r="I769" s="25"/>
      <c r="J769" s="25"/>
      <c r="K769" s="41"/>
      <c r="L769" s="35"/>
      <c r="M769" s="35"/>
      <c r="N769" s="35"/>
      <c r="O769" s="26"/>
      <c r="P769" s="23"/>
      <c r="Q769" s="24"/>
      <c r="R769" s="29"/>
      <c r="S769" s="29"/>
      <c r="T769" s="43"/>
      <c r="U769" s="29"/>
      <c r="V769" s="42"/>
      <c r="W769" s="29"/>
    </row>
    <row r="770" ht="15.75" customHeight="1">
      <c r="A770" s="29"/>
      <c r="B770" s="16"/>
      <c r="C770" s="29"/>
      <c r="D770" s="35"/>
      <c r="E770" s="35"/>
      <c r="F770" s="29"/>
      <c r="G770" s="19"/>
      <c r="H770" s="41"/>
      <c r="I770" s="25"/>
      <c r="J770" s="25"/>
      <c r="K770" s="41"/>
      <c r="L770" s="35"/>
      <c r="M770" s="35"/>
      <c r="N770" s="35"/>
      <c r="O770" s="26"/>
      <c r="P770" s="23"/>
      <c r="Q770" s="24"/>
      <c r="R770" s="29"/>
      <c r="S770" s="29"/>
      <c r="T770" s="43"/>
      <c r="U770" s="29"/>
      <c r="V770" s="42"/>
      <c r="W770" s="29"/>
    </row>
    <row r="771" ht="15.75" customHeight="1">
      <c r="A771" s="29"/>
      <c r="B771" s="16"/>
      <c r="C771" s="29"/>
      <c r="D771" s="35"/>
      <c r="E771" s="35"/>
      <c r="F771" s="29"/>
      <c r="G771" s="19"/>
      <c r="H771" s="41"/>
      <c r="I771" s="25"/>
      <c r="J771" s="25"/>
      <c r="K771" s="41"/>
      <c r="L771" s="35"/>
      <c r="M771" s="35"/>
      <c r="N771" s="35"/>
      <c r="O771" s="26"/>
      <c r="P771" s="23"/>
      <c r="Q771" s="24"/>
      <c r="R771" s="29"/>
      <c r="S771" s="29"/>
      <c r="T771" s="43"/>
      <c r="U771" s="29"/>
      <c r="V771" s="42"/>
      <c r="W771" s="29"/>
    </row>
    <row r="772" ht="15.75" customHeight="1">
      <c r="A772" s="29"/>
      <c r="B772" s="16"/>
      <c r="C772" s="29"/>
      <c r="D772" s="35"/>
      <c r="E772" s="35"/>
      <c r="F772" s="29"/>
      <c r="G772" s="19"/>
      <c r="H772" s="41"/>
      <c r="I772" s="25"/>
      <c r="J772" s="25"/>
      <c r="K772" s="41"/>
      <c r="L772" s="35"/>
      <c r="M772" s="35"/>
      <c r="N772" s="35"/>
      <c r="O772" s="26"/>
      <c r="P772" s="23"/>
      <c r="Q772" s="24"/>
      <c r="R772" s="29"/>
      <c r="S772" s="29"/>
      <c r="T772" s="43"/>
      <c r="U772" s="29"/>
      <c r="V772" s="42"/>
      <c r="W772" s="29"/>
    </row>
    <row r="773" ht="15.75" customHeight="1">
      <c r="A773" s="29"/>
      <c r="B773" s="16"/>
      <c r="C773" s="29"/>
      <c r="D773" s="35"/>
      <c r="E773" s="35"/>
      <c r="F773" s="29"/>
      <c r="G773" s="19"/>
      <c r="H773" s="41"/>
      <c r="I773" s="25"/>
      <c r="J773" s="25"/>
      <c r="K773" s="41"/>
      <c r="L773" s="35"/>
      <c r="M773" s="35"/>
      <c r="N773" s="35"/>
      <c r="O773" s="26"/>
      <c r="P773" s="23"/>
      <c r="Q773" s="24"/>
      <c r="R773" s="29"/>
      <c r="S773" s="29"/>
      <c r="T773" s="43"/>
      <c r="U773" s="29"/>
      <c r="V773" s="42"/>
      <c r="W773" s="29"/>
    </row>
    <row r="774" ht="15.75" customHeight="1">
      <c r="A774" s="29"/>
      <c r="B774" s="16"/>
      <c r="C774" s="29"/>
      <c r="D774" s="35"/>
      <c r="E774" s="35"/>
      <c r="F774" s="29"/>
      <c r="G774" s="19"/>
      <c r="H774" s="41"/>
      <c r="I774" s="25"/>
      <c r="J774" s="25"/>
      <c r="K774" s="41"/>
      <c r="L774" s="35"/>
      <c r="M774" s="35"/>
      <c r="N774" s="35"/>
      <c r="O774" s="26"/>
      <c r="P774" s="23"/>
      <c r="Q774" s="24"/>
      <c r="R774" s="29"/>
      <c r="S774" s="29"/>
      <c r="T774" s="43"/>
      <c r="U774" s="29"/>
      <c r="V774" s="42"/>
      <c r="W774" s="29"/>
    </row>
    <row r="775" ht="15.75" customHeight="1">
      <c r="A775" s="29"/>
      <c r="B775" s="16"/>
      <c r="C775" s="29"/>
      <c r="D775" s="35"/>
      <c r="E775" s="35"/>
      <c r="F775" s="29"/>
      <c r="G775" s="19"/>
      <c r="H775" s="41"/>
      <c r="I775" s="25"/>
      <c r="J775" s="25"/>
      <c r="K775" s="41"/>
      <c r="L775" s="35"/>
      <c r="M775" s="35"/>
      <c r="N775" s="35"/>
      <c r="O775" s="26"/>
      <c r="P775" s="23"/>
      <c r="Q775" s="24"/>
      <c r="R775" s="29"/>
      <c r="S775" s="29"/>
      <c r="T775" s="43"/>
      <c r="U775" s="29"/>
      <c r="V775" s="42"/>
      <c r="W775" s="29"/>
    </row>
    <row r="776" ht="15.75" customHeight="1">
      <c r="A776" s="29"/>
      <c r="B776" s="16"/>
      <c r="C776" s="29"/>
      <c r="D776" s="35"/>
      <c r="E776" s="35"/>
      <c r="F776" s="29"/>
      <c r="G776" s="19"/>
      <c r="H776" s="41"/>
      <c r="I776" s="25"/>
      <c r="J776" s="25"/>
      <c r="K776" s="41"/>
      <c r="L776" s="35"/>
      <c r="M776" s="35"/>
      <c r="N776" s="35"/>
      <c r="O776" s="26"/>
      <c r="P776" s="23"/>
      <c r="Q776" s="24"/>
      <c r="R776" s="29"/>
      <c r="S776" s="29"/>
      <c r="T776" s="43"/>
      <c r="U776" s="29"/>
      <c r="V776" s="42"/>
      <c r="W776" s="29"/>
    </row>
    <row r="777" ht="15.75" customHeight="1">
      <c r="A777" s="29"/>
      <c r="B777" s="16"/>
      <c r="C777" s="29"/>
      <c r="D777" s="35"/>
      <c r="E777" s="35"/>
      <c r="F777" s="29"/>
      <c r="G777" s="19"/>
      <c r="H777" s="41"/>
      <c r="I777" s="25"/>
      <c r="J777" s="25"/>
      <c r="K777" s="41"/>
      <c r="L777" s="35"/>
      <c r="M777" s="35"/>
      <c r="N777" s="35"/>
      <c r="O777" s="26"/>
      <c r="P777" s="23"/>
      <c r="Q777" s="24"/>
      <c r="R777" s="29"/>
      <c r="S777" s="29"/>
      <c r="T777" s="43"/>
      <c r="U777" s="29"/>
      <c r="V777" s="42"/>
      <c r="W777" s="29"/>
    </row>
    <row r="778" ht="15.75" customHeight="1">
      <c r="A778" s="29"/>
      <c r="B778" s="16"/>
      <c r="C778" s="29"/>
      <c r="D778" s="35"/>
      <c r="E778" s="35"/>
      <c r="F778" s="29"/>
      <c r="G778" s="19"/>
      <c r="H778" s="41"/>
      <c r="I778" s="25"/>
      <c r="J778" s="25"/>
      <c r="K778" s="41"/>
      <c r="L778" s="35"/>
      <c r="M778" s="35"/>
      <c r="N778" s="35"/>
      <c r="O778" s="26"/>
      <c r="P778" s="23"/>
      <c r="Q778" s="24"/>
      <c r="R778" s="29"/>
      <c r="S778" s="29"/>
      <c r="T778" s="43"/>
      <c r="U778" s="29"/>
      <c r="V778" s="42"/>
      <c r="W778" s="29"/>
    </row>
    <row r="779" ht="15.75" customHeight="1">
      <c r="A779" s="29"/>
      <c r="B779" s="16"/>
      <c r="C779" s="29"/>
      <c r="D779" s="35"/>
      <c r="E779" s="35"/>
      <c r="F779" s="29"/>
      <c r="G779" s="19"/>
      <c r="H779" s="41"/>
      <c r="I779" s="25"/>
      <c r="J779" s="25"/>
      <c r="K779" s="41"/>
      <c r="L779" s="35"/>
      <c r="M779" s="35"/>
      <c r="N779" s="35"/>
      <c r="O779" s="26"/>
      <c r="P779" s="23"/>
      <c r="Q779" s="24"/>
      <c r="R779" s="29"/>
      <c r="S779" s="29"/>
      <c r="T779" s="43"/>
      <c r="U779" s="29"/>
      <c r="V779" s="42"/>
      <c r="W779" s="29"/>
    </row>
    <row r="780" ht="15.75" customHeight="1">
      <c r="A780" s="29"/>
      <c r="B780" s="16"/>
      <c r="C780" s="29"/>
      <c r="D780" s="35"/>
      <c r="E780" s="35"/>
      <c r="F780" s="29"/>
      <c r="G780" s="19"/>
      <c r="H780" s="41"/>
      <c r="I780" s="25"/>
      <c r="J780" s="25"/>
      <c r="K780" s="41"/>
      <c r="L780" s="35"/>
      <c r="M780" s="35"/>
      <c r="N780" s="35"/>
      <c r="O780" s="26"/>
      <c r="P780" s="23"/>
      <c r="Q780" s="24"/>
      <c r="R780" s="29"/>
      <c r="S780" s="29"/>
      <c r="T780" s="43"/>
      <c r="U780" s="29"/>
      <c r="V780" s="42"/>
      <c r="W780" s="29"/>
    </row>
    <row r="781" ht="15.75" customHeight="1">
      <c r="A781" s="29"/>
      <c r="B781" s="16"/>
      <c r="C781" s="29"/>
      <c r="D781" s="35"/>
      <c r="E781" s="35"/>
      <c r="F781" s="29"/>
      <c r="G781" s="19"/>
      <c r="H781" s="41"/>
      <c r="I781" s="25"/>
      <c r="J781" s="25"/>
      <c r="K781" s="41"/>
      <c r="L781" s="35"/>
      <c r="M781" s="35"/>
      <c r="N781" s="35"/>
      <c r="O781" s="26"/>
      <c r="P781" s="23"/>
      <c r="Q781" s="24"/>
      <c r="R781" s="29"/>
      <c r="S781" s="29"/>
      <c r="T781" s="43"/>
      <c r="U781" s="29"/>
      <c r="V781" s="42"/>
      <c r="W781" s="29"/>
    </row>
    <row r="782" ht="15.75" customHeight="1">
      <c r="A782" s="29"/>
      <c r="B782" s="16"/>
      <c r="C782" s="29"/>
      <c r="D782" s="35"/>
      <c r="E782" s="35"/>
      <c r="F782" s="29"/>
      <c r="G782" s="19"/>
      <c r="H782" s="41"/>
      <c r="I782" s="25"/>
      <c r="J782" s="25"/>
      <c r="K782" s="41"/>
      <c r="L782" s="35"/>
      <c r="M782" s="35"/>
      <c r="N782" s="35"/>
      <c r="O782" s="26"/>
      <c r="P782" s="23"/>
      <c r="Q782" s="24"/>
      <c r="R782" s="29"/>
      <c r="S782" s="29"/>
      <c r="T782" s="43"/>
      <c r="U782" s="29"/>
      <c r="V782" s="42"/>
      <c r="W782" s="29"/>
    </row>
    <row r="783" ht="15.75" customHeight="1">
      <c r="A783" s="29"/>
      <c r="B783" s="16"/>
      <c r="C783" s="29"/>
      <c r="D783" s="35"/>
      <c r="E783" s="35"/>
      <c r="F783" s="29"/>
      <c r="G783" s="19"/>
      <c r="H783" s="41"/>
      <c r="I783" s="25"/>
      <c r="J783" s="25"/>
      <c r="K783" s="41"/>
      <c r="L783" s="35"/>
      <c r="M783" s="35"/>
      <c r="N783" s="35"/>
      <c r="O783" s="26"/>
      <c r="P783" s="23"/>
      <c r="Q783" s="24"/>
      <c r="R783" s="29"/>
      <c r="S783" s="29"/>
      <c r="T783" s="43"/>
      <c r="U783" s="29"/>
      <c r="V783" s="42"/>
      <c r="W783" s="29"/>
    </row>
    <row r="784" ht="15.75" customHeight="1">
      <c r="A784" s="29"/>
      <c r="B784" s="16"/>
      <c r="C784" s="29"/>
      <c r="D784" s="35"/>
      <c r="E784" s="35"/>
      <c r="F784" s="29"/>
      <c r="G784" s="19"/>
      <c r="H784" s="41"/>
      <c r="I784" s="25"/>
      <c r="J784" s="25"/>
      <c r="K784" s="41"/>
      <c r="L784" s="35"/>
      <c r="M784" s="35"/>
      <c r="N784" s="35"/>
      <c r="O784" s="26"/>
      <c r="P784" s="23"/>
      <c r="Q784" s="24"/>
      <c r="R784" s="29"/>
      <c r="S784" s="29"/>
      <c r="T784" s="43"/>
      <c r="U784" s="29"/>
      <c r="V784" s="42"/>
      <c r="W784" s="29"/>
    </row>
    <row r="785" ht="15.75" customHeight="1">
      <c r="A785" s="29"/>
      <c r="B785" s="16"/>
      <c r="C785" s="29"/>
      <c r="D785" s="35"/>
      <c r="E785" s="35"/>
      <c r="F785" s="29"/>
      <c r="G785" s="19"/>
      <c r="H785" s="41"/>
      <c r="I785" s="25"/>
      <c r="J785" s="25"/>
      <c r="K785" s="41"/>
      <c r="L785" s="35"/>
      <c r="M785" s="35"/>
      <c r="N785" s="35"/>
      <c r="O785" s="26"/>
      <c r="P785" s="23"/>
      <c r="Q785" s="24"/>
      <c r="R785" s="29"/>
      <c r="S785" s="29"/>
      <c r="T785" s="43"/>
      <c r="U785" s="29"/>
      <c r="V785" s="42"/>
      <c r="W785" s="29"/>
    </row>
    <row r="786" ht="15.75" customHeight="1">
      <c r="A786" s="29"/>
      <c r="B786" s="16"/>
      <c r="C786" s="29"/>
      <c r="D786" s="35"/>
      <c r="E786" s="35"/>
      <c r="F786" s="29"/>
      <c r="G786" s="19"/>
      <c r="H786" s="41"/>
      <c r="I786" s="25"/>
      <c r="J786" s="25"/>
      <c r="K786" s="41"/>
      <c r="L786" s="35"/>
      <c r="M786" s="35"/>
      <c r="N786" s="35"/>
      <c r="O786" s="26"/>
      <c r="P786" s="23"/>
      <c r="Q786" s="24"/>
      <c r="R786" s="29"/>
      <c r="S786" s="29"/>
      <c r="T786" s="43"/>
      <c r="U786" s="29"/>
      <c r="V786" s="42"/>
      <c r="W786" s="29"/>
    </row>
    <row r="787" ht="15.75" customHeight="1">
      <c r="A787" s="29"/>
      <c r="B787" s="16"/>
      <c r="C787" s="29"/>
      <c r="D787" s="35"/>
      <c r="E787" s="35"/>
      <c r="F787" s="29"/>
      <c r="G787" s="19"/>
      <c r="H787" s="41"/>
      <c r="I787" s="25"/>
      <c r="J787" s="25"/>
      <c r="K787" s="41"/>
      <c r="L787" s="35"/>
      <c r="M787" s="35"/>
      <c r="N787" s="35"/>
      <c r="O787" s="26"/>
      <c r="P787" s="23"/>
      <c r="Q787" s="24"/>
      <c r="R787" s="29"/>
      <c r="S787" s="29"/>
      <c r="T787" s="43"/>
      <c r="U787" s="29"/>
      <c r="V787" s="42"/>
      <c r="W787" s="29"/>
    </row>
    <row r="788" ht="15.75" customHeight="1">
      <c r="A788" s="29"/>
      <c r="B788" s="16"/>
      <c r="C788" s="29"/>
      <c r="D788" s="35"/>
      <c r="E788" s="35"/>
      <c r="F788" s="29"/>
      <c r="G788" s="19"/>
      <c r="H788" s="41"/>
      <c r="I788" s="25"/>
      <c r="J788" s="25"/>
      <c r="K788" s="41"/>
      <c r="L788" s="35"/>
      <c r="M788" s="35"/>
      <c r="N788" s="35"/>
      <c r="O788" s="26"/>
      <c r="P788" s="23"/>
      <c r="Q788" s="24"/>
      <c r="R788" s="29"/>
      <c r="S788" s="29"/>
      <c r="T788" s="43"/>
      <c r="U788" s="29"/>
      <c r="V788" s="42"/>
      <c r="W788" s="29"/>
    </row>
    <row r="789" ht="15.75" customHeight="1">
      <c r="A789" s="29"/>
      <c r="B789" s="16"/>
      <c r="C789" s="29"/>
      <c r="D789" s="35"/>
      <c r="E789" s="35"/>
      <c r="F789" s="29"/>
      <c r="G789" s="19"/>
      <c r="H789" s="41"/>
      <c r="I789" s="25"/>
      <c r="J789" s="25"/>
      <c r="K789" s="41"/>
      <c r="L789" s="35"/>
      <c r="M789" s="35"/>
      <c r="N789" s="35"/>
      <c r="O789" s="26"/>
      <c r="P789" s="23"/>
      <c r="Q789" s="24"/>
      <c r="R789" s="29"/>
      <c r="S789" s="29"/>
      <c r="T789" s="43"/>
      <c r="U789" s="29"/>
      <c r="V789" s="42"/>
      <c r="W789" s="29"/>
    </row>
    <row r="790" ht="15.75" customHeight="1">
      <c r="A790" s="29"/>
      <c r="B790" s="16"/>
      <c r="C790" s="29"/>
      <c r="D790" s="35"/>
      <c r="E790" s="35"/>
      <c r="F790" s="29"/>
      <c r="G790" s="19"/>
      <c r="H790" s="41"/>
      <c r="I790" s="25"/>
      <c r="J790" s="25"/>
      <c r="K790" s="41"/>
      <c r="L790" s="35"/>
      <c r="M790" s="35"/>
      <c r="N790" s="35"/>
      <c r="O790" s="26"/>
      <c r="P790" s="23"/>
      <c r="Q790" s="24"/>
      <c r="R790" s="29"/>
      <c r="S790" s="29"/>
      <c r="T790" s="43"/>
      <c r="U790" s="29"/>
      <c r="V790" s="42"/>
      <c r="W790" s="29"/>
    </row>
    <row r="791" ht="15.75" customHeight="1">
      <c r="A791" s="29"/>
      <c r="B791" s="16"/>
      <c r="C791" s="29"/>
      <c r="D791" s="35"/>
      <c r="E791" s="35"/>
      <c r="F791" s="29"/>
      <c r="G791" s="19"/>
      <c r="H791" s="41"/>
      <c r="I791" s="25"/>
      <c r="J791" s="25"/>
      <c r="K791" s="41"/>
      <c r="L791" s="35"/>
      <c r="M791" s="35"/>
      <c r="N791" s="35"/>
      <c r="O791" s="26"/>
      <c r="P791" s="23"/>
      <c r="Q791" s="24"/>
      <c r="R791" s="29"/>
      <c r="S791" s="29"/>
      <c r="T791" s="43"/>
      <c r="U791" s="29"/>
      <c r="V791" s="42"/>
      <c r="W791" s="29"/>
    </row>
    <row r="792" ht="15.75" customHeight="1">
      <c r="A792" s="29"/>
      <c r="B792" s="16"/>
      <c r="C792" s="29"/>
      <c r="D792" s="35"/>
      <c r="E792" s="35"/>
      <c r="F792" s="29"/>
      <c r="G792" s="19"/>
      <c r="H792" s="41"/>
      <c r="I792" s="25"/>
      <c r="J792" s="25"/>
      <c r="K792" s="41"/>
      <c r="L792" s="35"/>
      <c r="M792" s="35"/>
      <c r="N792" s="35"/>
      <c r="O792" s="26"/>
      <c r="P792" s="23"/>
      <c r="Q792" s="24"/>
      <c r="R792" s="29"/>
      <c r="S792" s="29"/>
      <c r="T792" s="43"/>
      <c r="U792" s="29"/>
      <c r="V792" s="42"/>
      <c r="W792" s="29"/>
    </row>
    <row r="793" ht="15.75" customHeight="1">
      <c r="A793" s="29"/>
      <c r="B793" s="16"/>
      <c r="C793" s="29"/>
      <c r="D793" s="35"/>
      <c r="E793" s="35"/>
      <c r="F793" s="29"/>
      <c r="G793" s="19"/>
      <c r="H793" s="41"/>
      <c r="I793" s="25"/>
      <c r="J793" s="25"/>
      <c r="K793" s="41"/>
      <c r="L793" s="35"/>
      <c r="M793" s="35"/>
      <c r="N793" s="35"/>
      <c r="O793" s="26"/>
      <c r="P793" s="23"/>
      <c r="Q793" s="24"/>
      <c r="R793" s="29"/>
      <c r="S793" s="29"/>
      <c r="T793" s="43"/>
      <c r="U793" s="29"/>
      <c r="V793" s="42"/>
      <c r="W793" s="29"/>
    </row>
    <row r="794" ht="15.75" customHeight="1">
      <c r="A794" s="29"/>
      <c r="B794" s="16"/>
      <c r="C794" s="29"/>
      <c r="D794" s="35"/>
      <c r="E794" s="35"/>
      <c r="F794" s="29"/>
      <c r="G794" s="19"/>
      <c r="H794" s="41"/>
      <c r="I794" s="25"/>
      <c r="J794" s="25"/>
      <c r="K794" s="41"/>
      <c r="L794" s="35"/>
      <c r="M794" s="35"/>
      <c r="N794" s="35"/>
      <c r="O794" s="26"/>
      <c r="P794" s="23"/>
      <c r="Q794" s="24"/>
      <c r="R794" s="29"/>
      <c r="S794" s="29"/>
      <c r="T794" s="43"/>
      <c r="U794" s="29"/>
      <c r="V794" s="42"/>
      <c r="W794" s="29"/>
    </row>
    <row r="795" ht="15.75" customHeight="1">
      <c r="A795" s="29"/>
      <c r="B795" s="16"/>
      <c r="C795" s="29"/>
      <c r="D795" s="35"/>
      <c r="E795" s="35"/>
      <c r="F795" s="29"/>
      <c r="G795" s="19"/>
      <c r="H795" s="41"/>
      <c r="I795" s="25"/>
      <c r="J795" s="25"/>
      <c r="K795" s="41"/>
      <c r="L795" s="35"/>
      <c r="M795" s="35"/>
      <c r="N795" s="35"/>
      <c r="O795" s="26"/>
      <c r="P795" s="23"/>
      <c r="Q795" s="24"/>
      <c r="R795" s="29"/>
      <c r="S795" s="29"/>
      <c r="T795" s="43"/>
      <c r="U795" s="29"/>
      <c r="V795" s="42"/>
      <c r="W795" s="29"/>
    </row>
    <row r="796" ht="15.75" customHeight="1">
      <c r="A796" s="29"/>
      <c r="B796" s="16"/>
      <c r="C796" s="29"/>
      <c r="D796" s="35"/>
      <c r="E796" s="35"/>
      <c r="F796" s="29"/>
      <c r="G796" s="19"/>
      <c r="H796" s="41"/>
      <c r="I796" s="25"/>
      <c r="J796" s="25"/>
      <c r="K796" s="41"/>
      <c r="L796" s="35"/>
      <c r="M796" s="35"/>
      <c r="N796" s="35"/>
      <c r="O796" s="26"/>
      <c r="P796" s="23"/>
      <c r="Q796" s="24"/>
      <c r="R796" s="29"/>
      <c r="S796" s="29"/>
      <c r="T796" s="43"/>
      <c r="U796" s="29"/>
      <c r="V796" s="42"/>
      <c r="W796" s="29"/>
    </row>
    <row r="797" ht="15.75" customHeight="1">
      <c r="A797" s="29"/>
      <c r="B797" s="16"/>
      <c r="C797" s="29"/>
      <c r="D797" s="35"/>
      <c r="E797" s="35"/>
      <c r="F797" s="29"/>
      <c r="G797" s="19"/>
      <c r="H797" s="41"/>
      <c r="I797" s="25"/>
      <c r="J797" s="25"/>
      <c r="K797" s="41"/>
      <c r="L797" s="35"/>
      <c r="M797" s="35"/>
      <c r="N797" s="35"/>
      <c r="O797" s="26"/>
      <c r="P797" s="23"/>
      <c r="Q797" s="24"/>
      <c r="R797" s="29"/>
      <c r="S797" s="29"/>
      <c r="T797" s="43"/>
      <c r="U797" s="29"/>
      <c r="V797" s="42"/>
      <c r="W797" s="29"/>
    </row>
    <row r="798" ht="15.75" customHeight="1">
      <c r="A798" s="29"/>
      <c r="B798" s="16"/>
      <c r="C798" s="29"/>
      <c r="D798" s="35"/>
      <c r="E798" s="35"/>
      <c r="F798" s="29"/>
      <c r="G798" s="19"/>
      <c r="H798" s="41"/>
      <c r="I798" s="25"/>
      <c r="J798" s="25"/>
      <c r="K798" s="41"/>
      <c r="L798" s="35"/>
      <c r="M798" s="35"/>
      <c r="N798" s="35"/>
      <c r="O798" s="26"/>
      <c r="P798" s="23"/>
      <c r="Q798" s="24"/>
      <c r="R798" s="29"/>
      <c r="S798" s="29"/>
      <c r="T798" s="43"/>
      <c r="U798" s="29"/>
      <c r="V798" s="42"/>
      <c r="W798" s="29"/>
    </row>
    <row r="799" ht="15.75" customHeight="1">
      <c r="A799" s="29"/>
      <c r="B799" s="16"/>
      <c r="C799" s="29"/>
      <c r="D799" s="35"/>
      <c r="E799" s="35"/>
      <c r="F799" s="29"/>
      <c r="G799" s="19"/>
      <c r="H799" s="41"/>
      <c r="I799" s="25"/>
      <c r="J799" s="25"/>
      <c r="K799" s="41"/>
      <c r="L799" s="35"/>
      <c r="M799" s="35"/>
      <c r="N799" s="35"/>
      <c r="O799" s="26"/>
      <c r="P799" s="23"/>
      <c r="Q799" s="24"/>
      <c r="R799" s="29"/>
      <c r="S799" s="29"/>
      <c r="T799" s="43"/>
      <c r="U799" s="29"/>
      <c r="V799" s="42"/>
      <c r="W799" s="29"/>
    </row>
    <row r="800" ht="15.75" customHeight="1">
      <c r="A800" s="29"/>
      <c r="B800" s="16"/>
      <c r="C800" s="29"/>
      <c r="D800" s="35"/>
      <c r="E800" s="35"/>
      <c r="F800" s="29"/>
      <c r="G800" s="19"/>
      <c r="H800" s="41"/>
      <c r="I800" s="25"/>
      <c r="J800" s="25"/>
      <c r="K800" s="41"/>
      <c r="L800" s="35"/>
      <c r="M800" s="35"/>
      <c r="N800" s="35"/>
      <c r="O800" s="26"/>
      <c r="P800" s="23"/>
      <c r="Q800" s="24"/>
      <c r="R800" s="29"/>
      <c r="S800" s="29"/>
      <c r="T800" s="43"/>
      <c r="U800" s="29"/>
      <c r="V800" s="42"/>
      <c r="W800" s="29"/>
    </row>
    <row r="801" ht="15.75" customHeight="1">
      <c r="A801" s="29"/>
      <c r="B801" s="16"/>
      <c r="C801" s="29"/>
      <c r="D801" s="35"/>
      <c r="E801" s="35"/>
      <c r="F801" s="29"/>
      <c r="G801" s="19"/>
      <c r="H801" s="41"/>
      <c r="I801" s="25"/>
      <c r="J801" s="25"/>
      <c r="K801" s="41"/>
      <c r="L801" s="35"/>
      <c r="M801" s="35"/>
      <c r="N801" s="35"/>
      <c r="O801" s="26"/>
      <c r="P801" s="23"/>
      <c r="Q801" s="24"/>
      <c r="R801" s="29"/>
      <c r="S801" s="29"/>
      <c r="T801" s="43"/>
      <c r="U801" s="29"/>
      <c r="V801" s="42"/>
      <c r="W801" s="29"/>
    </row>
    <row r="802" ht="15.75" customHeight="1">
      <c r="A802" s="29"/>
      <c r="B802" s="16"/>
      <c r="C802" s="29"/>
      <c r="D802" s="35"/>
      <c r="E802" s="35"/>
      <c r="F802" s="29"/>
      <c r="G802" s="19"/>
      <c r="H802" s="41"/>
      <c r="I802" s="25"/>
      <c r="J802" s="25"/>
      <c r="K802" s="41"/>
      <c r="L802" s="35"/>
      <c r="M802" s="35"/>
      <c r="N802" s="35"/>
      <c r="O802" s="26"/>
      <c r="P802" s="23"/>
      <c r="Q802" s="24"/>
      <c r="R802" s="29"/>
      <c r="S802" s="29"/>
      <c r="T802" s="43"/>
      <c r="U802" s="29"/>
      <c r="V802" s="42"/>
      <c r="W802" s="29"/>
    </row>
    <row r="803" ht="15.75" customHeight="1">
      <c r="A803" s="29"/>
      <c r="B803" s="16"/>
      <c r="C803" s="29"/>
      <c r="D803" s="35"/>
      <c r="E803" s="35"/>
      <c r="F803" s="29"/>
      <c r="G803" s="19"/>
      <c r="H803" s="41"/>
      <c r="I803" s="25"/>
      <c r="J803" s="25"/>
      <c r="K803" s="41"/>
      <c r="L803" s="35"/>
      <c r="M803" s="35"/>
      <c r="N803" s="35"/>
      <c r="O803" s="26"/>
      <c r="P803" s="23"/>
      <c r="Q803" s="24"/>
      <c r="R803" s="29"/>
      <c r="S803" s="29"/>
      <c r="T803" s="43"/>
      <c r="U803" s="29"/>
      <c r="V803" s="42"/>
      <c r="W803" s="29"/>
    </row>
    <row r="804" ht="15.75" customHeight="1">
      <c r="A804" s="29"/>
      <c r="B804" s="16"/>
      <c r="C804" s="29"/>
      <c r="D804" s="35"/>
      <c r="E804" s="35"/>
      <c r="F804" s="29"/>
      <c r="G804" s="19"/>
      <c r="H804" s="41"/>
      <c r="I804" s="25"/>
      <c r="J804" s="25"/>
      <c r="K804" s="41"/>
      <c r="L804" s="35"/>
      <c r="M804" s="35"/>
      <c r="N804" s="35"/>
      <c r="O804" s="26"/>
      <c r="P804" s="23"/>
      <c r="Q804" s="24"/>
      <c r="R804" s="29"/>
      <c r="S804" s="29"/>
      <c r="T804" s="43"/>
      <c r="U804" s="29"/>
      <c r="V804" s="42"/>
      <c r="W804" s="29"/>
    </row>
    <row r="805" ht="15.75" customHeight="1">
      <c r="A805" s="29"/>
      <c r="B805" s="16"/>
      <c r="C805" s="29"/>
      <c r="D805" s="35"/>
      <c r="E805" s="35"/>
      <c r="F805" s="29"/>
      <c r="G805" s="19"/>
      <c r="H805" s="41"/>
      <c r="I805" s="25"/>
      <c r="J805" s="25"/>
      <c r="K805" s="41"/>
      <c r="L805" s="35"/>
      <c r="M805" s="35"/>
      <c r="N805" s="35"/>
      <c r="O805" s="26"/>
      <c r="P805" s="23"/>
      <c r="Q805" s="24"/>
      <c r="R805" s="29"/>
      <c r="S805" s="29"/>
      <c r="T805" s="43"/>
      <c r="U805" s="29"/>
      <c r="V805" s="42"/>
      <c r="W805" s="29"/>
    </row>
    <row r="806" ht="15.75" customHeight="1">
      <c r="A806" s="29"/>
      <c r="B806" s="16"/>
      <c r="C806" s="29"/>
      <c r="D806" s="35"/>
      <c r="E806" s="35"/>
      <c r="F806" s="29"/>
      <c r="G806" s="19"/>
      <c r="H806" s="41"/>
      <c r="I806" s="25"/>
      <c r="J806" s="25"/>
      <c r="K806" s="41"/>
      <c r="L806" s="35"/>
      <c r="M806" s="35"/>
      <c r="N806" s="35"/>
      <c r="O806" s="26"/>
      <c r="P806" s="23"/>
      <c r="Q806" s="24"/>
      <c r="R806" s="29"/>
      <c r="S806" s="29"/>
      <c r="T806" s="43"/>
      <c r="U806" s="29"/>
      <c r="V806" s="42"/>
      <c r="W806" s="29"/>
    </row>
    <row r="807" ht="15.75" customHeight="1">
      <c r="A807" s="29"/>
      <c r="B807" s="16"/>
      <c r="C807" s="29"/>
      <c r="D807" s="35"/>
      <c r="E807" s="35"/>
      <c r="F807" s="29"/>
      <c r="G807" s="19"/>
      <c r="H807" s="41"/>
      <c r="I807" s="25"/>
      <c r="J807" s="25"/>
      <c r="K807" s="41"/>
      <c r="L807" s="35"/>
      <c r="M807" s="35"/>
      <c r="N807" s="35"/>
      <c r="O807" s="26"/>
      <c r="P807" s="23"/>
      <c r="Q807" s="24"/>
      <c r="R807" s="29"/>
      <c r="S807" s="29"/>
      <c r="T807" s="43"/>
      <c r="U807" s="29"/>
      <c r="V807" s="42"/>
      <c r="W807" s="29"/>
    </row>
    <row r="808" ht="15.75" customHeight="1">
      <c r="A808" s="29"/>
      <c r="B808" s="16"/>
      <c r="C808" s="29"/>
      <c r="D808" s="35"/>
      <c r="E808" s="35"/>
      <c r="F808" s="29"/>
      <c r="G808" s="19"/>
      <c r="H808" s="41"/>
      <c r="I808" s="25"/>
      <c r="J808" s="25"/>
      <c r="K808" s="41"/>
      <c r="L808" s="35"/>
      <c r="M808" s="35"/>
      <c r="N808" s="35"/>
      <c r="O808" s="26"/>
      <c r="P808" s="23"/>
      <c r="Q808" s="24"/>
      <c r="R808" s="29"/>
      <c r="S808" s="29"/>
      <c r="T808" s="43"/>
      <c r="U808" s="29"/>
      <c r="V808" s="42"/>
      <c r="W808" s="29"/>
    </row>
    <row r="809" ht="15.75" customHeight="1">
      <c r="A809" s="29"/>
      <c r="B809" s="16"/>
      <c r="C809" s="29"/>
      <c r="D809" s="35"/>
      <c r="E809" s="35"/>
      <c r="F809" s="29"/>
      <c r="G809" s="19"/>
      <c r="H809" s="41"/>
      <c r="I809" s="25"/>
      <c r="J809" s="25"/>
      <c r="K809" s="41"/>
      <c r="L809" s="35"/>
      <c r="M809" s="35"/>
      <c r="N809" s="35"/>
      <c r="O809" s="26"/>
      <c r="P809" s="23"/>
      <c r="Q809" s="24"/>
      <c r="R809" s="29"/>
      <c r="S809" s="29"/>
      <c r="T809" s="43"/>
      <c r="U809" s="29"/>
      <c r="V809" s="42"/>
      <c r="W809" s="29"/>
    </row>
    <row r="810" ht="15.75" customHeight="1">
      <c r="A810" s="29"/>
      <c r="B810" s="16"/>
      <c r="C810" s="29"/>
      <c r="D810" s="35"/>
      <c r="E810" s="35"/>
      <c r="F810" s="29"/>
      <c r="G810" s="19"/>
      <c r="H810" s="41"/>
      <c r="I810" s="25"/>
      <c r="J810" s="25"/>
      <c r="K810" s="41"/>
      <c r="L810" s="35"/>
      <c r="M810" s="35"/>
      <c r="N810" s="35"/>
      <c r="O810" s="26"/>
      <c r="P810" s="23"/>
      <c r="Q810" s="24"/>
      <c r="R810" s="29"/>
      <c r="S810" s="29"/>
      <c r="T810" s="43"/>
      <c r="U810" s="29"/>
      <c r="V810" s="42"/>
      <c r="W810" s="29"/>
    </row>
    <row r="811" ht="15.75" customHeight="1">
      <c r="A811" s="29"/>
      <c r="B811" s="16"/>
      <c r="C811" s="29"/>
      <c r="D811" s="35"/>
      <c r="E811" s="35"/>
      <c r="F811" s="29"/>
      <c r="G811" s="19"/>
      <c r="H811" s="41"/>
      <c r="I811" s="25"/>
      <c r="J811" s="25"/>
      <c r="K811" s="41"/>
      <c r="L811" s="35"/>
      <c r="M811" s="35"/>
      <c r="N811" s="35"/>
      <c r="O811" s="26"/>
      <c r="P811" s="23"/>
      <c r="Q811" s="24"/>
      <c r="R811" s="29"/>
      <c r="S811" s="29"/>
      <c r="T811" s="43"/>
      <c r="U811" s="29"/>
      <c r="V811" s="42"/>
      <c r="W811" s="29"/>
    </row>
    <row r="812" ht="15.75" customHeight="1">
      <c r="A812" s="29"/>
      <c r="B812" s="16"/>
      <c r="C812" s="29"/>
      <c r="D812" s="35"/>
      <c r="E812" s="35"/>
      <c r="F812" s="29"/>
      <c r="G812" s="19"/>
      <c r="H812" s="41"/>
      <c r="I812" s="25"/>
      <c r="J812" s="25"/>
      <c r="K812" s="41"/>
      <c r="L812" s="35"/>
      <c r="M812" s="35"/>
      <c r="N812" s="35"/>
      <c r="O812" s="26"/>
      <c r="P812" s="23"/>
      <c r="Q812" s="24"/>
      <c r="R812" s="29"/>
      <c r="S812" s="29"/>
      <c r="T812" s="43"/>
      <c r="U812" s="29"/>
      <c r="V812" s="42"/>
      <c r="W812" s="29"/>
    </row>
    <row r="813" ht="15.75" customHeight="1">
      <c r="A813" s="29"/>
      <c r="B813" s="16"/>
      <c r="C813" s="29"/>
      <c r="D813" s="35"/>
      <c r="E813" s="35"/>
      <c r="F813" s="29"/>
      <c r="G813" s="19"/>
      <c r="H813" s="41"/>
      <c r="I813" s="25"/>
      <c r="J813" s="25"/>
      <c r="K813" s="41"/>
      <c r="L813" s="35"/>
      <c r="M813" s="35"/>
      <c r="N813" s="35"/>
      <c r="O813" s="26"/>
      <c r="P813" s="23"/>
      <c r="Q813" s="24"/>
      <c r="R813" s="29"/>
      <c r="S813" s="29"/>
      <c r="T813" s="43"/>
      <c r="U813" s="29"/>
      <c r="V813" s="42"/>
      <c r="W813" s="29"/>
    </row>
    <row r="814" ht="15.75" customHeight="1">
      <c r="A814" s="29"/>
      <c r="B814" s="16"/>
      <c r="C814" s="29"/>
      <c r="D814" s="35"/>
      <c r="E814" s="35"/>
      <c r="F814" s="29"/>
      <c r="G814" s="19"/>
      <c r="H814" s="41"/>
      <c r="I814" s="25"/>
      <c r="J814" s="25"/>
      <c r="K814" s="41"/>
      <c r="L814" s="35"/>
      <c r="M814" s="35"/>
      <c r="N814" s="35"/>
      <c r="O814" s="26"/>
      <c r="P814" s="23"/>
      <c r="Q814" s="24"/>
      <c r="R814" s="29"/>
      <c r="S814" s="29"/>
      <c r="T814" s="43"/>
      <c r="U814" s="29"/>
      <c r="V814" s="42"/>
      <c r="W814" s="29"/>
    </row>
    <row r="815" ht="15.75" customHeight="1">
      <c r="A815" s="29"/>
      <c r="B815" s="16"/>
      <c r="C815" s="29"/>
      <c r="D815" s="35"/>
      <c r="E815" s="35"/>
      <c r="F815" s="29"/>
      <c r="G815" s="19"/>
      <c r="H815" s="41"/>
      <c r="I815" s="25"/>
      <c r="J815" s="25"/>
      <c r="K815" s="41"/>
      <c r="L815" s="35"/>
      <c r="M815" s="35"/>
      <c r="N815" s="35"/>
      <c r="O815" s="26"/>
      <c r="P815" s="23"/>
      <c r="Q815" s="24"/>
      <c r="R815" s="29"/>
      <c r="S815" s="29"/>
      <c r="T815" s="43"/>
      <c r="U815" s="29"/>
      <c r="V815" s="42"/>
      <c r="W815" s="29"/>
    </row>
    <row r="816" ht="15.75" customHeight="1">
      <c r="A816" s="29"/>
      <c r="B816" s="16"/>
      <c r="C816" s="29"/>
      <c r="D816" s="35"/>
      <c r="E816" s="35"/>
      <c r="F816" s="29"/>
      <c r="G816" s="19"/>
      <c r="H816" s="41"/>
      <c r="I816" s="25"/>
      <c r="J816" s="25"/>
      <c r="K816" s="41"/>
      <c r="L816" s="35"/>
      <c r="M816" s="35"/>
      <c r="N816" s="35"/>
      <c r="O816" s="26"/>
      <c r="P816" s="23"/>
      <c r="Q816" s="24"/>
      <c r="R816" s="29"/>
      <c r="S816" s="29"/>
      <c r="T816" s="43"/>
      <c r="U816" s="29"/>
      <c r="V816" s="42"/>
      <c r="W816" s="29"/>
    </row>
    <row r="817" ht="15.75" customHeight="1">
      <c r="A817" s="29"/>
      <c r="B817" s="16"/>
      <c r="C817" s="29"/>
      <c r="D817" s="35"/>
      <c r="E817" s="35"/>
      <c r="F817" s="29"/>
      <c r="G817" s="19"/>
      <c r="H817" s="41"/>
      <c r="I817" s="25"/>
      <c r="J817" s="25"/>
      <c r="K817" s="41"/>
      <c r="L817" s="35"/>
      <c r="M817" s="35"/>
      <c r="N817" s="35"/>
      <c r="O817" s="26"/>
      <c r="P817" s="23"/>
      <c r="Q817" s="24"/>
      <c r="R817" s="29"/>
      <c r="S817" s="29"/>
      <c r="T817" s="43"/>
      <c r="U817" s="29"/>
      <c r="V817" s="42"/>
      <c r="W817" s="29"/>
    </row>
    <row r="818" ht="15.75" customHeight="1">
      <c r="A818" s="29"/>
      <c r="B818" s="16"/>
      <c r="C818" s="29"/>
      <c r="D818" s="35"/>
      <c r="E818" s="35"/>
      <c r="F818" s="29"/>
      <c r="G818" s="19"/>
      <c r="H818" s="41"/>
      <c r="I818" s="25"/>
      <c r="J818" s="25"/>
      <c r="K818" s="41"/>
      <c r="L818" s="35"/>
      <c r="M818" s="35"/>
      <c r="N818" s="35"/>
      <c r="O818" s="26"/>
      <c r="P818" s="23"/>
      <c r="Q818" s="24"/>
      <c r="R818" s="29"/>
      <c r="S818" s="29"/>
      <c r="T818" s="43"/>
      <c r="U818" s="29"/>
      <c r="V818" s="42"/>
      <c r="W818" s="29"/>
    </row>
    <row r="819" ht="15.75" customHeight="1">
      <c r="A819" s="29"/>
      <c r="B819" s="16"/>
      <c r="C819" s="29"/>
      <c r="D819" s="35"/>
      <c r="E819" s="35"/>
      <c r="F819" s="29"/>
      <c r="G819" s="19"/>
      <c r="H819" s="41"/>
      <c r="I819" s="25"/>
      <c r="J819" s="25"/>
      <c r="K819" s="41"/>
      <c r="L819" s="35"/>
      <c r="M819" s="35"/>
      <c r="N819" s="35"/>
      <c r="O819" s="26"/>
      <c r="P819" s="23"/>
      <c r="Q819" s="24"/>
      <c r="R819" s="29"/>
      <c r="S819" s="29"/>
      <c r="T819" s="43"/>
      <c r="U819" s="29"/>
      <c r="V819" s="42"/>
      <c r="W819" s="29"/>
    </row>
    <row r="820" ht="15.75" customHeight="1">
      <c r="A820" s="29"/>
      <c r="B820" s="16"/>
      <c r="C820" s="29"/>
      <c r="D820" s="35"/>
      <c r="E820" s="35"/>
      <c r="F820" s="29"/>
      <c r="G820" s="19"/>
      <c r="H820" s="41"/>
      <c r="I820" s="25"/>
      <c r="J820" s="25"/>
      <c r="K820" s="41"/>
      <c r="L820" s="35"/>
      <c r="M820" s="35"/>
      <c r="N820" s="35"/>
      <c r="O820" s="26"/>
      <c r="P820" s="23"/>
      <c r="Q820" s="24"/>
      <c r="R820" s="29"/>
      <c r="S820" s="29"/>
      <c r="T820" s="43"/>
      <c r="U820" s="29"/>
      <c r="V820" s="42"/>
      <c r="W820" s="29"/>
    </row>
    <row r="821" ht="15.75" customHeight="1">
      <c r="A821" s="29"/>
      <c r="B821" s="16"/>
      <c r="C821" s="29"/>
      <c r="D821" s="35"/>
      <c r="E821" s="35"/>
      <c r="F821" s="29"/>
      <c r="G821" s="19"/>
      <c r="H821" s="41"/>
      <c r="I821" s="25"/>
      <c r="J821" s="25"/>
      <c r="K821" s="41"/>
      <c r="L821" s="35"/>
      <c r="M821" s="35"/>
      <c r="N821" s="35"/>
      <c r="O821" s="26"/>
      <c r="P821" s="23"/>
      <c r="Q821" s="24"/>
      <c r="R821" s="29"/>
      <c r="S821" s="29"/>
      <c r="T821" s="43"/>
      <c r="U821" s="29"/>
      <c r="V821" s="42"/>
      <c r="W821" s="29"/>
    </row>
    <row r="822" ht="15.75" customHeight="1">
      <c r="A822" s="29"/>
      <c r="B822" s="16"/>
      <c r="C822" s="29"/>
      <c r="D822" s="35"/>
      <c r="E822" s="35"/>
      <c r="F822" s="29"/>
      <c r="G822" s="19"/>
      <c r="H822" s="41"/>
      <c r="I822" s="25"/>
      <c r="J822" s="25"/>
      <c r="K822" s="41"/>
      <c r="L822" s="35"/>
      <c r="M822" s="35"/>
      <c r="N822" s="35"/>
      <c r="O822" s="26"/>
      <c r="P822" s="23"/>
      <c r="Q822" s="24"/>
      <c r="R822" s="29"/>
      <c r="S822" s="29"/>
      <c r="T822" s="43"/>
      <c r="U822" s="29"/>
      <c r="V822" s="42"/>
      <c r="W822" s="29"/>
    </row>
    <row r="823" ht="15.75" customHeight="1">
      <c r="A823" s="29"/>
      <c r="B823" s="16"/>
      <c r="C823" s="29"/>
      <c r="D823" s="35"/>
      <c r="E823" s="35"/>
      <c r="F823" s="29"/>
      <c r="G823" s="19"/>
      <c r="H823" s="41"/>
      <c r="I823" s="25"/>
      <c r="J823" s="25"/>
      <c r="K823" s="41"/>
      <c r="L823" s="35"/>
      <c r="M823" s="35"/>
      <c r="N823" s="35"/>
      <c r="O823" s="26"/>
      <c r="P823" s="23"/>
      <c r="Q823" s="24"/>
      <c r="R823" s="29"/>
      <c r="S823" s="29"/>
      <c r="T823" s="43"/>
      <c r="U823" s="29"/>
      <c r="V823" s="42"/>
      <c r="W823" s="29"/>
    </row>
    <row r="824" ht="15.75" customHeight="1">
      <c r="A824" s="29"/>
      <c r="B824" s="16"/>
      <c r="C824" s="29"/>
      <c r="D824" s="35"/>
      <c r="E824" s="35"/>
      <c r="F824" s="29"/>
      <c r="G824" s="19"/>
      <c r="H824" s="41"/>
      <c r="I824" s="25"/>
      <c r="J824" s="25"/>
      <c r="K824" s="41"/>
      <c r="L824" s="35"/>
      <c r="M824" s="35"/>
      <c r="N824" s="35"/>
      <c r="O824" s="26"/>
      <c r="P824" s="23"/>
      <c r="Q824" s="24"/>
      <c r="R824" s="29"/>
      <c r="S824" s="29"/>
      <c r="T824" s="43"/>
      <c r="U824" s="29"/>
      <c r="V824" s="42"/>
      <c r="W824" s="29"/>
    </row>
    <row r="825" ht="15.75" customHeight="1">
      <c r="A825" s="29"/>
      <c r="B825" s="16"/>
      <c r="C825" s="29"/>
      <c r="D825" s="35"/>
      <c r="E825" s="35"/>
      <c r="F825" s="29"/>
      <c r="G825" s="19"/>
      <c r="H825" s="41"/>
      <c r="I825" s="25"/>
      <c r="J825" s="25"/>
      <c r="K825" s="41"/>
      <c r="L825" s="35"/>
      <c r="M825" s="35"/>
      <c r="N825" s="35"/>
      <c r="O825" s="26"/>
      <c r="P825" s="23"/>
      <c r="Q825" s="24"/>
      <c r="R825" s="29"/>
      <c r="S825" s="29"/>
      <c r="T825" s="43"/>
      <c r="U825" s="29"/>
      <c r="V825" s="42"/>
      <c r="W825" s="29"/>
    </row>
    <row r="826" ht="15.75" customHeight="1">
      <c r="A826" s="29"/>
      <c r="B826" s="16"/>
      <c r="C826" s="29"/>
      <c r="D826" s="35"/>
      <c r="E826" s="35"/>
      <c r="F826" s="29"/>
      <c r="G826" s="19"/>
      <c r="H826" s="41"/>
      <c r="I826" s="25"/>
      <c r="J826" s="25"/>
      <c r="K826" s="41"/>
      <c r="L826" s="35"/>
      <c r="M826" s="35"/>
      <c r="N826" s="35"/>
      <c r="O826" s="26"/>
      <c r="P826" s="23"/>
      <c r="Q826" s="24"/>
      <c r="R826" s="29"/>
      <c r="S826" s="29"/>
      <c r="T826" s="43"/>
      <c r="U826" s="29"/>
      <c r="V826" s="42"/>
      <c r="W826" s="29"/>
    </row>
    <row r="827" ht="15.75" customHeight="1">
      <c r="A827" s="29"/>
      <c r="B827" s="16"/>
      <c r="C827" s="29"/>
      <c r="D827" s="35"/>
      <c r="E827" s="35"/>
      <c r="F827" s="29"/>
      <c r="G827" s="19"/>
      <c r="H827" s="41"/>
      <c r="I827" s="25"/>
      <c r="J827" s="25"/>
      <c r="K827" s="41"/>
      <c r="L827" s="35"/>
      <c r="M827" s="35"/>
      <c r="N827" s="35"/>
      <c r="O827" s="26"/>
      <c r="P827" s="23"/>
      <c r="Q827" s="24"/>
      <c r="R827" s="29"/>
      <c r="S827" s="29"/>
      <c r="T827" s="43"/>
      <c r="U827" s="29"/>
      <c r="V827" s="42"/>
      <c r="W827" s="29"/>
    </row>
    <row r="828" ht="15.75" customHeight="1">
      <c r="A828" s="29"/>
      <c r="B828" s="16"/>
      <c r="C828" s="29"/>
      <c r="D828" s="35"/>
      <c r="E828" s="35"/>
      <c r="F828" s="29"/>
      <c r="G828" s="19"/>
      <c r="H828" s="41"/>
      <c r="I828" s="25"/>
      <c r="J828" s="25"/>
      <c r="K828" s="41"/>
      <c r="L828" s="35"/>
      <c r="M828" s="35"/>
      <c r="N828" s="35"/>
      <c r="O828" s="26"/>
      <c r="P828" s="23"/>
      <c r="Q828" s="24"/>
      <c r="R828" s="29"/>
      <c r="S828" s="29"/>
      <c r="T828" s="43"/>
      <c r="U828" s="29"/>
      <c r="V828" s="42"/>
      <c r="W828" s="29"/>
    </row>
    <row r="829" ht="15.75" customHeight="1">
      <c r="A829" s="29"/>
      <c r="B829" s="16"/>
      <c r="C829" s="29"/>
      <c r="D829" s="35"/>
      <c r="E829" s="35"/>
      <c r="F829" s="29"/>
      <c r="G829" s="19"/>
      <c r="H829" s="41"/>
      <c r="I829" s="25"/>
      <c r="J829" s="25"/>
      <c r="K829" s="41"/>
      <c r="L829" s="35"/>
      <c r="M829" s="35"/>
      <c r="N829" s="35"/>
      <c r="O829" s="26"/>
      <c r="P829" s="23"/>
      <c r="Q829" s="24"/>
      <c r="R829" s="29"/>
      <c r="S829" s="29"/>
      <c r="T829" s="43"/>
      <c r="U829" s="29"/>
      <c r="V829" s="42"/>
      <c r="W829" s="29"/>
    </row>
    <row r="830" ht="15.75" customHeight="1">
      <c r="A830" s="29"/>
      <c r="B830" s="16"/>
      <c r="C830" s="29"/>
      <c r="D830" s="35"/>
      <c r="E830" s="35"/>
      <c r="F830" s="29"/>
      <c r="G830" s="19"/>
      <c r="H830" s="41"/>
      <c r="I830" s="25"/>
      <c r="J830" s="25"/>
      <c r="K830" s="41"/>
      <c r="L830" s="35"/>
      <c r="M830" s="35"/>
      <c r="N830" s="35"/>
      <c r="O830" s="26"/>
      <c r="P830" s="23"/>
      <c r="Q830" s="24"/>
      <c r="R830" s="29"/>
      <c r="S830" s="29"/>
      <c r="T830" s="43"/>
      <c r="U830" s="29"/>
      <c r="V830" s="42"/>
      <c r="W830" s="29"/>
    </row>
    <row r="831" ht="15.75" customHeight="1">
      <c r="A831" s="29"/>
      <c r="B831" s="16"/>
      <c r="C831" s="29"/>
      <c r="D831" s="35"/>
      <c r="E831" s="35"/>
      <c r="F831" s="29"/>
      <c r="G831" s="19"/>
      <c r="H831" s="41"/>
      <c r="I831" s="25"/>
      <c r="J831" s="25"/>
      <c r="K831" s="41"/>
      <c r="L831" s="35"/>
      <c r="M831" s="35"/>
      <c r="N831" s="35"/>
      <c r="O831" s="26"/>
      <c r="P831" s="23"/>
      <c r="Q831" s="24"/>
      <c r="R831" s="29"/>
      <c r="S831" s="29"/>
      <c r="T831" s="43"/>
      <c r="U831" s="29"/>
      <c r="V831" s="42"/>
      <c r="W831" s="29"/>
    </row>
    <row r="832" ht="15.75" customHeight="1">
      <c r="A832" s="29"/>
      <c r="B832" s="16"/>
      <c r="C832" s="29"/>
      <c r="D832" s="35"/>
      <c r="E832" s="35"/>
      <c r="F832" s="29"/>
      <c r="G832" s="19"/>
      <c r="H832" s="41"/>
      <c r="I832" s="25"/>
      <c r="J832" s="25"/>
      <c r="K832" s="41"/>
      <c r="L832" s="35"/>
      <c r="M832" s="35"/>
      <c r="N832" s="35"/>
      <c r="O832" s="26"/>
      <c r="P832" s="23"/>
      <c r="Q832" s="24"/>
      <c r="R832" s="29"/>
      <c r="S832" s="29"/>
      <c r="T832" s="43"/>
      <c r="U832" s="29"/>
      <c r="V832" s="42"/>
      <c r="W832" s="29"/>
    </row>
    <row r="833" ht="15.75" customHeight="1">
      <c r="A833" s="29"/>
      <c r="B833" s="16"/>
      <c r="C833" s="29"/>
      <c r="D833" s="35"/>
      <c r="E833" s="35"/>
      <c r="F833" s="29"/>
      <c r="G833" s="19"/>
      <c r="H833" s="41"/>
      <c r="I833" s="25"/>
      <c r="J833" s="25"/>
      <c r="K833" s="41"/>
      <c r="L833" s="35"/>
      <c r="M833" s="35"/>
      <c r="N833" s="35"/>
      <c r="O833" s="26"/>
      <c r="P833" s="23"/>
      <c r="Q833" s="24"/>
      <c r="R833" s="29"/>
      <c r="S833" s="29"/>
      <c r="T833" s="43"/>
      <c r="U833" s="29"/>
      <c r="V833" s="42"/>
      <c r="W833" s="29"/>
    </row>
    <row r="834" ht="15.75" customHeight="1">
      <c r="A834" s="29"/>
      <c r="B834" s="16"/>
      <c r="C834" s="29"/>
      <c r="D834" s="35"/>
      <c r="E834" s="35"/>
      <c r="F834" s="29"/>
      <c r="G834" s="19"/>
      <c r="H834" s="41"/>
      <c r="I834" s="25"/>
      <c r="J834" s="25"/>
      <c r="K834" s="41"/>
      <c r="L834" s="35"/>
      <c r="M834" s="35"/>
      <c r="N834" s="35"/>
      <c r="O834" s="26"/>
      <c r="P834" s="23"/>
      <c r="Q834" s="24"/>
      <c r="R834" s="29"/>
      <c r="S834" s="29"/>
      <c r="T834" s="43"/>
      <c r="U834" s="29"/>
      <c r="V834" s="42"/>
      <c r="W834" s="29"/>
    </row>
    <row r="835" ht="15.75" customHeight="1">
      <c r="A835" s="29"/>
      <c r="B835" s="16"/>
      <c r="C835" s="29"/>
      <c r="D835" s="35"/>
      <c r="E835" s="35"/>
      <c r="F835" s="29"/>
      <c r="G835" s="19"/>
      <c r="H835" s="41"/>
      <c r="I835" s="25"/>
      <c r="J835" s="25"/>
      <c r="K835" s="41"/>
      <c r="L835" s="35"/>
      <c r="M835" s="35"/>
      <c r="N835" s="35"/>
      <c r="O835" s="26"/>
      <c r="P835" s="23"/>
      <c r="Q835" s="24"/>
      <c r="R835" s="29"/>
      <c r="S835" s="29"/>
      <c r="T835" s="43"/>
      <c r="U835" s="29"/>
      <c r="V835" s="42"/>
      <c r="W835" s="29"/>
    </row>
    <row r="836" ht="15.75" customHeight="1">
      <c r="A836" s="29"/>
      <c r="B836" s="16"/>
      <c r="C836" s="29"/>
      <c r="D836" s="35"/>
      <c r="E836" s="35"/>
      <c r="F836" s="29"/>
      <c r="G836" s="19"/>
      <c r="H836" s="41"/>
      <c r="I836" s="25"/>
      <c r="J836" s="25"/>
      <c r="K836" s="41"/>
      <c r="L836" s="35"/>
      <c r="M836" s="35"/>
      <c r="N836" s="35"/>
      <c r="O836" s="26"/>
      <c r="P836" s="23"/>
      <c r="Q836" s="24"/>
      <c r="R836" s="29"/>
      <c r="S836" s="29"/>
      <c r="T836" s="43"/>
      <c r="U836" s="29"/>
      <c r="V836" s="42"/>
      <c r="W836" s="29"/>
    </row>
    <row r="837" ht="15.75" customHeight="1">
      <c r="A837" s="29"/>
      <c r="B837" s="16"/>
      <c r="C837" s="29"/>
      <c r="D837" s="35"/>
      <c r="E837" s="35"/>
      <c r="F837" s="29"/>
      <c r="G837" s="19"/>
      <c r="H837" s="41"/>
      <c r="I837" s="25"/>
      <c r="J837" s="25"/>
      <c r="K837" s="41"/>
      <c r="L837" s="35"/>
      <c r="M837" s="35"/>
      <c r="N837" s="35"/>
      <c r="O837" s="26"/>
      <c r="P837" s="23"/>
      <c r="Q837" s="24"/>
      <c r="R837" s="29"/>
      <c r="S837" s="29"/>
      <c r="T837" s="43"/>
      <c r="U837" s="29"/>
      <c r="V837" s="42"/>
      <c r="W837" s="29"/>
    </row>
    <row r="838" ht="15.75" customHeight="1">
      <c r="A838" s="29"/>
      <c r="B838" s="16"/>
      <c r="C838" s="29"/>
      <c r="D838" s="35"/>
      <c r="E838" s="35"/>
      <c r="F838" s="29"/>
      <c r="G838" s="19"/>
      <c r="H838" s="41"/>
      <c r="I838" s="25"/>
      <c r="J838" s="25"/>
      <c r="K838" s="41"/>
      <c r="L838" s="35"/>
      <c r="M838" s="35"/>
      <c r="N838" s="35"/>
      <c r="O838" s="26"/>
      <c r="P838" s="23"/>
      <c r="Q838" s="24"/>
      <c r="R838" s="29"/>
      <c r="S838" s="29"/>
      <c r="T838" s="43"/>
      <c r="U838" s="29"/>
      <c r="V838" s="42"/>
      <c r="W838" s="29"/>
    </row>
    <row r="839" ht="15.75" customHeight="1">
      <c r="A839" s="29"/>
      <c r="B839" s="16"/>
      <c r="C839" s="29"/>
      <c r="D839" s="35"/>
      <c r="E839" s="35"/>
      <c r="F839" s="29"/>
      <c r="G839" s="19"/>
      <c r="H839" s="41"/>
      <c r="I839" s="25"/>
      <c r="J839" s="25"/>
      <c r="K839" s="41"/>
      <c r="L839" s="35"/>
      <c r="M839" s="35"/>
      <c r="N839" s="35"/>
      <c r="O839" s="26"/>
      <c r="P839" s="23"/>
      <c r="Q839" s="24"/>
      <c r="R839" s="29"/>
      <c r="S839" s="29"/>
      <c r="T839" s="43"/>
      <c r="U839" s="29"/>
      <c r="V839" s="42"/>
      <c r="W839" s="29"/>
    </row>
    <row r="840" ht="15.75" customHeight="1">
      <c r="A840" s="29"/>
      <c r="B840" s="16"/>
      <c r="C840" s="29"/>
      <c r="D840" s="35"/>
      <c r="E840" s="35"/>
      <c r="F840" s="29"/>
      <c r="G840" s="19"/>
      <c r="H840" s="41"/>
      <c r="I840" s="25"/>
      <c r="J840" s="25"/>
      <c r="K840" s="41"/>
      <c r="L840" s="35"/>
      <c r="M840" s="35"/>
      <c r="N840" s="35"/>
      <c r="O840" s="26"/>
      <c r="P840" s="23"/>
      <c r="Q840" s="24"/>
      <c r="R840" s="29"/>
      <c r="S840" s="29"/>
      <c r="T840" s="43"/>
      <c r="U840" s="29"/>
      <c r="V840" s="42"/>
      <c r="W840" s="29"/>
    </row>
    <row r="841" ht="15.75" customHeight="1">
      <c r="A841" s="29"/>
      <c r="B841" s="16"/>
      <c r="C841" s="29"/>
      <c r="D841" s="35"/>
      <c r="E841" s="35"/>
      <c r="F841" s="29"/>
      <c r="G841" s="19"/>
      <c r="H841" s="41"/>
      <c r="I841" s="25"/>
      <c r="J841" s="25"/>
      <c r="K841" s="41"/>
      <c r="L841" s="35"/>
      <c r="M841" s="35"/>
      <c r="N841" s="35"/>
      <c r="O841" s="26"/>
      <c r="P841" s="23"/>
      <c r="Q841" s="24"/>
      <c r="R841" s="29"/>
      <c r="S841" s="29"/>
      <c r="T841" s="43"/>
      <c r="U841" s="29"/>
      <c r="V841" s="42"/>
      <c r="W841" s="29"/>
    </row>
    <row r="842" ht="15.75" customHeight="1">
      <c r="A842" s="29"/>
      <c r="B842" s="16"/>
      <c r="C842" s="29"/>
      <c r="D842" s="35"/>
      <c r="E842" s="35"/>
      <c r="F842" s="29"/>
      <c r="G842" s="19"/>
      <c r="H842" s="41"/>
      <c r="I842" s="25"/>
      <c r="J842" s="25"/>
      <c r="K842" s="41"/>
      <c r="L842" s="35"/>
      <c r="M842" s="35"/>
      <c r="N842" s="35"/>
      <c r="O842" s="26"/>
      <c r="P842" s="23"/>
      <c r="Q842" s="24"/>
      <c r="R842" s="29"/>
      <c r="S842" s="29"/>
      <c r="T842" s="43"/>
      <c r="U842" s="29"/>
      <c r="V842" s="42"/>
      <c r="W842" s="29"/>
    </row>
    <row r="843" ht="15.75" customHeight="1">
      <c r="A843" s="29"/>
      <c r="B843" s="16"/>
      <c r="C843" s="29"/>
      <c r="D843" s="35"/>
      <c r="E843" s="35"/>
      <c r="F843" s="29"/>
      <c r="G843" s="19"/>
      <c r="H843" s="41"/>
      <c r="I843" s="25"/>
      <c r="J843" s="25"/>
      <c r="K843" s="41"/>
      <c r="L843" s="35"/>
      <c r="M843" s="35"/>
      <c r="N843" s="35"/>
      <c r="O843" s="26"/>
      <c r="P843" s="23"/>
      <c r="Q843" s="24"/>
      <c r="R843" s="29"/>
      <c r="S843" s="29"/>
      <c r="T843" s="43"/>
      <c r="U843" s="29"/>
      <c r="V843" s="42"/>
      <c r="W843" s="29"/>
    </row>
    <row r="844" ht="15.75" customHeight="1">
      <c r="A844" s="29"/>
      <c r="B844" s="16"/>
      <c r="C844" s="29"/>
      <c r="D844" s="35"/>
      <c r="E844" s="35"/>
      <c r="F844" s="29"/>
      <c r="G844" s="19"/>
      <c r="H844" s="41"/>
      <c r="I844" s="25"/>
      <c r="J844" s="25"/>
      <c r="K844" s="41"/>
      <c r="L844" s="35"/>
      <c r="M844" s="35"/>
      <c r="N844" s="35"/>
      <c r="O844" s="26"/>
      <c r="P844" s="23"/>
      <c r="Q844" s="24"/>
      <c r="R844" s="29"/>
      <c r="S844" s="29"/>
      <c r="T844" s="43"/>
      <c r="U844" s="29"/>
      <c r="V844" s="42"/>
      <c r="W844" s="29"/>
    </row>
    <row r="845" ht="15.75" customHeight="1">
      <c r="A845" s="29"/>
      <c r="B845" s="16"/>
      <c r="C845" s="29"/>
      <c r="D845" s="35"/>
      <c r="E845" s="35"/>
      <c r="F845" s="29"/>
      <c r="G845" s="19"/>
      <c r="H845" s="41"/>
      <c r="I845" s="25"/>
      <c r="J845" s="25"/>
      <c r="K845" s="41"/>
      <c r="L845" s="35"/>
      <c r="M845" s="35"/>
      <c r="N845" s="35"/>
      <c r="O845" s="26"/>
      <c r="P845" s="23"/>
      <c r="Q845" s="24"/>
      <c r="R845" s="29"/>
      <c r="S845" s="29"/>
      <c r="T845" s="43"/>
      <c r="U845" s="29"/>
      <c r="V845" s="42"/>
      <c r="W845" s="29"/>
    </row>
    <row r="846" ht="15.75" customHeight="1">
      <c r="A846" s="29"/>
      <c r="B846" s="16"/>
      <c r="C846" s="29"/>
      <c r="D846" s="35"/>
      <c r="E846" s="35"/>
      <c r="F846" s="29"/>
      <c r="G846" s="19"/>
      <c r="H846" s="41"/>
      <c r="I846" s="25"/>
      <c r="J846" s="25"/>
      <c r="K846" s="41"/>
      <c r="L846" s="35"/>
      <c r="M846" s="35"/>
      <c r="N846" s="35"/>
      <c r="O846" s="26"/>
      <c r="P846" s="23"/>
      <c r="Q846" s="24"/>
      <c r="R846" s="29"/>
      <c r="S846" s="29"/>
      <c r="T846" s="43"/>
      <c r="U846" s="29"/>
      <c r="V846" s="42"/>
      <c r="W846" s="29"/>
    </row>
    <row r="847" ht="15.75" customHeight="1">
      <c r="A847" s="29"/>
      <c r="B847" s="16"/>
      <c r="C847" s="29"/>
      <c r="D847" s="35"/>
      <c r="E847" s="35"/>
      <c r="F847" s="29"/>
      <c r="G847" s="19"/>
      <c r="H847" s="41"/>
      <c r="I847" s="25"/>
      <c r="J847" s="25"/>
      <c r="K847" s="41"/>
      <c r="L847" s="35"/>
      <c r="M847" s="35"/>
      <c r="N847" s="35"/>
      <c r="O847" s="26"/>
      <c r="P847" s="23"/>
      <c r="Q847" s="24"/>
      <c r="R847" s="29"/>
      <c r="S847" s="29"/>
      <c r="T847" s="43"/>
      <c r="U847" s="29"/>
      <c r="V847" s="42"/>
      <c r="W847" s="29"/>
    </row>
    <row r="848" ht="15.75" customHeight="1">
      <c r="A848" s="29"/>
      <c r="B848" s="16"/>
      <c r="C848" s="29"/>
      <c r="D848" s="35"/>
      <c r="E848" s="35"/>
      <c r="F848" s="29"/>
      <c r="G848" s="19"/>
      <c r="H848" s="41"/>
      <c r="I848" s="25"/>
      <c r="J848" s="25"/>
      <c r="K848" s="41"/>
      <c r="L848" s="35"/>
      <c r="M848" s="35"/>
      <c r="N848" s="35"/>
      <c r="O848" s="26"/>
      <c r="P848" s="23"/>
      <c r="Q848" s="24"/>
      <c r="R848" s="29"/>
      <c r="S848" s="29"/>
      <c r="T848" s="43"/>
      <c r="U848" s="29"/>
      <c r="V848" s="42"/>
      <c r="W848" s="29"/>
    </row>
    <row r="849" ht="15.75" customHeight="1">
      <c r="A849" s="29"/>
      <c r="B849" s="16"/>
      <c r="C849" s="29"/>
      <c r="D849" s="35"/>
      <c r="E849" s="35"/>
      <c r="F849" s="29"/>
      <c r="G849" s="19"/>
      <c r="H849" s="41"/>
      <c r="I849" s="25"/>
      <c r="J849" s="25"/>
      <c r="K849" s="41"/>
      <c r="L849" s="35"/>
      <c r="M849" s="35"/>
      <c r="N849" s="35"/>
      <c r="O849" s="26"/>
      <c r="P849" s="23"/>
      <c r="Q849" s="24"/>
      <c r="R849" s="29"/>
      <c r="S849" s="29"/>
      <c r="T849" s="43"/>
      <c r="U849" s="29"/>
      <c r="V849" s="42"/>
      <c r="W849" s="29"/>
    </row>
    <row r="850" ht="15.75" customHeight="1">
      <c r="A850" s="29"/>
      <c r="B850" s="16"/>
      <c r="C850" s="29"/>
      <c r="D850" s="35"/>
      <c r="E850" s="35"/>
      <c r="F850" s="29"/>
      <c r="G850" s="19"/>
      <c r="H850" s="41"/>
      <c r="I850" s="25"/>
      <c r="J850" s="25"/>
      <c r="K850" s="41"/>
      <c r="L850" s="35"/>
      <c r="M850" s="35"/>
      <c r="N850" s="35"/>
      <c r="O850" s="26"/>
      <c r="P850" s="23"/>
      <c r="Q850" s="24"/>
      <c r="R850" s="29"/>
      <c r="S850" s="29"/>
      <c r="T850" s="43"/>
      <c r="U850" s="29"/>
      <c r="V850" s="42"/>
      <c r="W850" s="29"/>
    </row>
    <row r="851" ht="15.75" customHeight="1">
      <c r="A851" s="29"/>
      <c r="B851" s="16"/>
      <c r="C851" s="29"/>
      <c r="D851" s="35"/>
      <c r="E851" s="35"/>
      <c r="F851" s="29"/>
      <c r="G851" s="19"/>
      <c r="H851" s="41"/>
      <c r="I851" s="25"/>
      <c r="J851" s="25"/>
      <c r="K851" s="41"/>
      <c r="L851" s="35"/>
      <c r="M851" s="35"/>
      <c r="N851" s="35"/>
      <c r="O851" s="26"/>
      <c r="P851" s="23"/>
      <c r="Q851" s="24"/>
      <c r="R851" s="29"/>
      <c r="S851" s="29"/>
      <c r="T851" s="43"/>
      <c r="U851" s="29"/>
      <c r="V851" s="42"/>
      <c r="W851" s="29"/>
    </row>
    <row r="852" ht="15.75" customHeight="1">
      <c r="A852" s="29"/>
      <c r="B852" s="16"/>
      <c r="C852" s="29"/>
      <c r="D852" s="35"/>
      <c r="E852" s="35"/>
      <c r="F852" s="29"/>
      <c r="G852" s="19"/>
      <c r="H852" s="41"/>
      <c r="I852" s="25"/>
      <c r="J852" s="25"/>
      <c r="K852" s="41"/>
      <c r="L852" s="35"/>
      <c r="M852" s="35"/>
      <c r="N852" s="35"/>
      <c r="O852" s="26"/>
      <c r="P852" s="23"/>
      <c r="Q852" s="24"/>
      <c r="R852" s="29"/>
      <c r="S852" s="29"/>
      <c r="T852" s="43"/>
      <c r="U852" s="29"/>
      <c r="V852" s="42"/>
      <c r="W852" s="29"/>
    </row>
    <row r="853" ht="15.75" customHeight="1">
      <c r="A853" s="29"/>
      <c r="B853" s="16"/>
      <c r="C853" s="29"/>
      <c r="D853" s="35"/>
      <c r="E853" s="35"/>
      <c r="F853" s="29"/>
      <c r="G853" s="19"/>
      <c r="H853" s="41"/>
      <c r="I853" s="25"/>
      <c r="J853" s="25"/>
      <c r="K853" s="41"/>
      <c r="L853" s="35"/>
      <c r="M853" s="35"/>
      <c r="N853" s="35"/>
      <c r="O853" s="26"/>
      <c r="P853" s="23"/>
      <c r="Q853" s="24"/>
      <c r="R853" s="29"/>
      <c r="S853" s="29"/>
      <c r="T853" s="43"/>
      <c r="U853" s="29"/>
      <c r="V853" s="42"/>
      <c r="W853" s="29"/>
    </row>
    <row r="854" ht="15.75" customHeight="1">
      <c r="A854" s="29"/>
      <c r="B854" s="16"/>
      <c r="C854" s="29"/>
      <c r="D854" s="35"/>
      <c r="E854" s="35"/>
      <c r="F854" s="29"/>
      <c r="G854" s="19"/>
      <c r="H854" s="41"/>
      <c r="I854" s="25"/>
      <c r="J854" s="25"/>
      <c r="K854" s="41"/>
      <c r="L854" s="35"/>
      <c r="M854" s="35"/>
      <c r="N854" s="35"/>
      <c r="O854" s="26"/>
      <c r="P854" s="23"/>
      <c r="Q854" s="24"/>
      <c r="R854" s="29"/>
      <c r="S854" s="29"/>
      <c r="T854" s="43"/>
      <c r="U854" s="29"/>
      <c r="V854" s="42"/>
      <c r="W854" s="29"/>
    </row>
    <row r="855" ht="15.75" customHeight="1">
      <c r="A855" s="29"/>
      <c r="B855" s="16"/>
      <c r="C855" s="29"/>
      <c r="D855" s="35"/>
      <c r="E855" s="35"/>
      <c r="F855" s="29"/>
      <c r="G855" s="19"/>
      <c r="H855" s="41"/>
      <c r="I855" s="25"/>
      <c r="J855" s="25"/>
      <c r="K855" s="41"/>
      <c r="L855" s="35"/>
      <c r="M855" s="35"/>
      <c r="N855" s="35"/>
      <c r="O855" s="26"/>
      <c r="P855" s="23"/>
      <c r="Q855" s="24"/>
      <c r="R855" s="29"/>
      <c r="S855" s="29"/>
      <c r="T855" s="43"/>
      <c r="U855" s="29"/>
      <c r="V855" s="42"/>
      <c r="W855" s="29"/>
    </row>
    <row r="856" ht="15.75" customHeight="1">
      <c r="A856" s="29"/>
      <c r="B856" s="16"/>
      <c r="C856" s="29"/>
      <c r="D856" s="35"/>
      <c r="E856" s="35"/>
      <c r="F856" s="29"/>
      <c r="G856" s="19"/>
      <c r="H856" s="41"/>
      <c r="I856" s="25"/>
      <c r="J856" s="25"/>
      <c r="K856" s="41"/>
      <c r="L856" s="35"/>
      <c r="M856" s="35"/>
      <c r="N856" s="35"/>
      <c r="O856" s="26"/>
      <c r="P856" s="23"/>
      <c r="Q856" s="24"/>
      <c r="R856" s="29"/>
      <c r="S856" s="29"/>
      <c r="T856" s="43"/>
      <c r="U856" s="29"/>
      <c r="V856" s="42"/>
      <c r="W856" s="29"/>
    </row>
    <row r="857" ht="15.75" customHeight="1">
      <c r="A857" s="29"/>
      <c r="B857" s="16"/>
      <c r="C857" s="29"/>
      <c r="D857" s="35"/>
      <c r="E857" s="35"/>
      <c r="F857" s="29"/>
      <c r="G857" s="19"/>
      <c r="H857" s="41"/>
      <c r="I857" s="25"/>
      <c r="J857" s="25"/>
      <c r="K857" s="41"/>
      <c r="L857" s="35"/>
      <c r="M857" s="35"/>
      <c r="N857" s="35"/>
      <c r="O857" s="26"/>
      <c r="P857" s="23"/>
      <c r="Q857" s="24"/>
      <c r="R857" s="29"/>
      <c r="S857" s="29"/>
      <c r="T857" s="43"/>
      <c r="U857" s="29"/>
      <c r="V857" s="42"/>
      <c r="W857" s="29"/>
    </row>
    <row r="858" ht="15.75" customHeight="1">
      <c r="A858" s="29"/>
      <c r="B858" s="16"/>
      <c r="C858" s="29"/>
      <c r="D858" s="35"/>
      <c r="E858" s="35"/>
      <c r="F858" s="29"/>
      <c r="G858" s="19"/>
      <c r="H858" s="41"/>
      <c r="I858" s="25"/>
      <c r="J858" s="25"/>
      <c r="K858" s="41"/>
      <c r="L858" s="35"/>
      <c r="M858" s="35"/>
      <c r="N858" s="35"/>
      <c r="O858" s="26"/>
      <c r="P858" s="23"/>
      <c r="Q858" s="24"/>
      <c r="R858" s="29"/>
      <c r="S858" s="29"/>
      <c r="T858" s="43"/>
      <c r="U858" s="29"/>
      <c r="V858" s="42"/>
      <c r="W858" s="29"/>
    </row>
    <row r="859" ht="15.75" customHeight="1">
      <c r="A859" s="29"/>
      <c r="B859" s="16"/>
      <c r="C859" s="29"/>
      <c r="D859" s="35"/>
      <c r="E859" s="35"/>
      <c r="F859" s="29"/>
      <c r="G859" s="19"/>
      <c r="H859" s="41"/>
      <c r="I859" s="25"/>
      <c r="J859" s="25"/>
      <c r="K859" s="41"/>
      <c r="L859" s="35"/>
      <c r="M859" s="35"/>
      <c r="N859" s="35"/>
      <c r="O859" s="26"/>
      <c r="P859" s="23"/>
      <c r="Q859" s="24"/>
      <c r="R859" s="29"/>
      <c r="S859" s="29"/>
      <c r="T859" s="43"/>
      <c r="U859" s="29"/>
      <c r="V859" s="42"/>
      <c r="W859" s="29"/>
    </row>
    <row r="860" ht="15.75" customHeight="1">
      <c r="A860" s="29"/>
      <c r="B860" s="16"/>
      <c r="C860" s="29"/>
      <c r="D860" s="35"/>
      <c r="E860" s="35"/>
      <c r="F860" s="29"/>
      <c r="G860" s="19"/>
      <c r="H860" s="41"/>
      <c r="I860" s="25"/>
      <c r="J860" s="25"/>
      <c r="K860" s="41"/>
      <c r="L860" s="35"/>
      <c r="M860" s="35"/>
      <c r="N860" s="35"/>
      <c r="O860" s="26"/>
      <c r="P860" s="23"/>
      <c r="Q860" s="24"/>
      <c r="R860" s="29"/>
      <c r="S860" s="29"/>
      <c r="T860" s="43"/>
      <c r="U860" s="29"/>
      <c r="V860" s="42"/>
      <c r="W860" s="29"/>
    </row>
    <row r="861" ht="15.75" customHeight="1">
      <c r="A861" s="29"/>
      <c r="B861" s="16"/>
      <c r="C861" s="29"/>
      <c r="D861" s="35"/>
      <c r="E861" s="35"/>
      <c r="F861" s="29"/>
      <c r="G861" s="19"/>
      <c r="H861" s="41"/>
      <c r="I861" s="25"/>
      <c r="J861" s="25"/>
      <c r="K861" s="41"/>
      <c r="L861" s="35"/>
      <c r="M861" s="35"/>
      <c r="N861" s="35"/>
      <c r="O861" s="26"/>
      <c r="P861" s="23"/>
      <c r="Q861" s="24"/>
      <c r="R861" s="29"/>
      <c r="S861" s="29"/>
      <c r="T861" s="43"/>
      <c r="U861" s="29"/>
      <c r="V861" s="42"/>
      <c r="W861" s="29"/>
    </row>
    <row r="862" ht="15.75" customHeight="1">
      <c r="A862" s="29"/>
      <c r="B862" s="16"/>
      <c r="C862" s="29"/>
      <c r="D862" s="35"/>
      <c r="E862" s="35"/>
      <c r="F862" s="29"/>
      <c r="G862" s="19"/>
      <c r="H862" s="41"/>
      <c r="I862" s="25"/>
      <c r="J862" s="25"/>
      <c r="K862" s="41"/>
      <c r="L862" s="35"/>
      <c r="M862" s="35"/>
      <c r="N862" s="35"/>
      <c r="O862" s="26"/>
      <c r="P862" s="23"/>
      <c r="Q862" s="24"/>
      <c r="R862" s="29"/>
      <c r="S862" s="29"/>
      <c r="T862" s="43"/>
      <c r="U862" s="29"/>
      <c r="V862" s="42"/>
      <c r="W862" s="29"/>
    </row>
    <row r="863" ht="15.75" customHeight="1">
      <c r="A863" s="29"/>
      <c r="B863" s="16"/>
      <c r="C863" s="29"/>
      <c r="D863" s="35"/>
      <c r="E863" s="35"/>
      <c r="F863" s="29"/>
      <c r="G863" s="19"/>
      <c r="H863" s="41"/>
      <c r="I863" s="25"/>
      <c r="J863" s="25"/>
      <c r="K863" s="41"/>
      <c r="L863" s="35"/>
      <c r="M863" s="35"/>
      <c r="N863" s="35"/>
      <c r="O863" s="26"/>
      <c r="P863" s="23"/>
      <c r="Q863" s="24"/>
      <c r="R863" s="29"/>
      <c r="S863" s="29"/>
      <c r="T863" s="43"/>
      <c r="U863" s="29"/>
      <c r="V863" s="42"/>
      <c r="W863" s="29"/>
    </row>
    <row r="864" ht="15.75" customHeight="1">
      <c r="A864" s="29"/>
      <c r="B864" s="16"/>
      <c r="C864" s="29"/>
      <c r="D864" s="35"/>
      <c r="E864" s="35"/>
      <c r="F864" s="29"/>
      <c r="G864" s="19"/>
      <c r="H864" s="41"/>
      <c r="I864" s="25"/>
      <c r="J864" s="25"/>
      <c r="K864" s="41"/>
      <c r="L864" s="35"/>
      <c r="M864" s="35"/>
      <c r="N864" s="35"/>
      <c r="O864" s="26"/>
      <c r="P864" s="23"/>
      <c r="Q864" s="24"/>
      <c r="R864" s="29"/>
      <c r="S864" s="29"/>
      <c r="T864" s="43"/>
      <c r="U864" s="29"/>
      <c r="V864" s="42"/>
      <c r="W864" s="29"/>
    </row>
    <row r="865" ht="15.75" customHeight="1">
      <c r="A865" s="29"/>
      <c r="B865" s="16"/>
      <c r="C865" s="29"/>
      <c r="D865" s="35"/>
      <c r="E865" s="35"/>
      <c r="F865" s="29"/>
      <c r="G865" s="19"/>
      <c r="H865" s="41"/>
      <c r="I865" s="25"/>
      <c r="J865" s="25"/>
      <c r="K865" s="41"/>
      <c r="L865" s="35"/>
      <c r="M865" s="35"/>
      <c r="N865" s="35"/>
      <c r="O865" s="26"/>
      <c r="P865" s="23"/>
      <c r="Q865" s="24"/>
      <c r="R865" s="29"/>
      <c r="S865" s="29"/>
      <c r="T865" s="43"/>
      <c r="U865" s="29"/>
      <c r="V865" s="42"/>
      <c r="W865" s="29"/>
    </row>
    <row r="866" ht="15.75" customHeight="1">
      <c r="A866" s="29"/>
      <c r="B866" s="16"/>
      <c r="C866" s="29"/>
      <c r="D866" s="35"/>
      <c r="E866" s="35"/>
      <c r="F866" s="29"/>
      <c r="G866" s="19"/>
      <c r="H866" s="41"/>
      <c r="I866" s="25"/>
      <c r="J866" s="25"/>
      <c r="K866" s="41"/>
      <c r="L866" s="35"/>
      <c r="M866" s="35"/>
      <c r="N866" s="35"/>
      <c r="O866" s="26"/>
      <c r="P866" s="23"/>
      <c r="Q866" s="24"/>
      <c r="R866" s="29"/>
      <c r="S866" s="29"/>
      <c r="T866" s="43"/>
      <c r="U866" s="29"/>
      <c r="V866" s="42"/>
      <c r="W866" s="29"/>
    </row>
    <row r="867" ht="15.75" customHeight="1">
      <c r="A867" s="29"/>
      <c r="B867" s="16"/>
      <c r="C867" s="29"/>
      <c r="D867" s="35"/>
      <c r="E867" s="35"/>
      <c r="F867" s="29"/>
      <c r="G867" s="19"/>
      <c r="H867" s="41"/>
      <c r="I867" s="25"/>
      <c r="J867" s="25"/>
      <c r="K867" s="41"/>
      <c r="L867" s="35"/>
      <c r="M867" s="35"/>
      <c r="N867" s="35"/>
      <c r="O867" s="26"/>
      <c r="P867" s="23"/>
      <c r="Q867" s="24"/>
      <c r="R867" s="29"/>
      <c r="S867" s="29"/>
      <c r="T867" s="43"/>
      <c r="U867" s="29"/>
      <c r="V867" s="42"/>
      <c r="W867" s="29"/>
    </row>
    <row r="868" ht="15.75" customHeight="1">
      <c r="A868" s="29"/>
      <c r="B868" s="16"/>
      <c r="C868" s="29"/>
      <c r="D868" s="35"/>
      <c r="E868" s="35"/>
      <c r="F868" s="29"/>
      <c r="G868" s="19"/>
      <c r="H868" s="41"/>
      <c r="I868" s="25"/>
      <c r="J868" s="25"/>
      <c r="K868" s="41"/>
      <c r="L868" s="35"/>
      <c r="M868" s="35"/>
      <c r="N868" s="35"/>
      <c r="O868" s="26"/>
      <c r="P868" s="23"/>
      <c r="Q868" s="24"/>
      <c r="R868" s="29"/>
      <c r="S868" s="29"/>
      <c r="T868" s="43"/>
      <c r="U868" s="29"/>
      <c r="V868" s="42"/>
      <c r="W868" s="29"/>
    </row>
    <row r="869" ht="15.75" customHeight="1">
      <c r="A869" s="29"/>
      <c r="B869" s="16"/>
      <c r="C869" s="29"/>
      <c r="D869" s="35"/>
      <c r="E869" s="35"/>
      <c r="F869" s="29"/>
      <c r="G869" s="19"/>
      <c r="H869" s="41"/>
      <c r="I869" s="25"/>
      <c r="J869" s="25"/>
      <c r="K869" s="41"/>
      <c r="L869" s="35"/>
      <c r="M869" s="35"/>
      <c r="N869" s="35"/>
      <c r="O869" s="26"/>
      <c r="P869" s="23"/>
      <c r="Q869" s="24"/>
      <c r="R869" s="29"/>
      <c r="S869" s="29"/>
      <c r="T869" s="43"/>
      <c r="U869" s="29"/>
      <c r="V869" s="42"/>
      <c r="W869" s="29"/>
    </row>
    <row r="870" ht="15.75" customHeight="1">
      <c r="A870" s="29"/>
      <c r="B870" s="16"/>
      <c r="C870" s="29"/>
      <c r="D870" s="35"/>
      <c r="E870" s="35"/>
      <c r="F870" s="29"/>
      <c r="G870" s="19"/>
      <c r="H870" s="41"/>
      <c r="I870" s="25"/>
      <c r="J870" s="25"/>
      <c r="K870" s="41"/>
      <c r="L870" s="35"/>
      <c r="M870" s="35"/>
      <c r="N870" s="35"/>
      <c r="O870" s="26"/>
      <c r="P870" s="23"/>
      <c r="Q870" s="24"/>
      <c r="R870" s="29"/>
      <c r="S870" s="29"/>
      <c r="T870" s="43"/>
      <c r="U870" s="29"/>
      <c r="V870" s="42"/>
      <c r="W870" s="29"/>
    </row>
    <row r="871" ht="15.75" customHeight="1">
      <c r="A871" s="29"/>
      <c r="B871" s="16"/>
      <c r="C871" s="29"/>
      <c r="D871" s="35"/>
      <c r="E871" s="35"/>
      <c r="F871" s="29"/>
      <c r="G871" s="19"/>
      <c r="H871" s="41"/>
      <c r="I871" s="25"/>
      <c r="J871" s="25"/>
      <c r="K871" s="41"/>
      <c r="L871" s="35"/>
      <c r="M871" s="35"/>
      <c r="N871" s="35"/>
      <c r="O871" s="26"/>
      <c r="P871" s="23"/>
      <c r="Q871" s="24"/>
      <c r="R871" s="29"/>
      <c r="S871" s="29"/>
      <c r="T871" s="43"/>
      <c r="U871" s="29"/>
      <c r="V871" s="42"/>
      <c r="W871" s="29"/>
    </row>
    <row r="872" ht="15.75" customHeight="1">
      <c r="A872" s="29"/>
      <c r="B872" s="16"/>
      <c r="C872" s="29"/>
      <c r="D872" s="35"/>
      <c r="E872" s="35"/>
      <c r="F872" s="29"/>
      <c r="G872" s="19"/>
      <c r="H872" s="41"/>
      <c r="I872" s="25"/>
      <c r="J872" s="25"/>
      <c r="K872" s="41"/>
      <c r="L872" s="35"/>
      <c r="M872" s="35"/>
      <c r="N872" s="35"/>
      <c r="O872" s="26"/>
      <c r="P872" s="23"/>
      <c r="Q872" s="24"/>
      <c r="R872" s="29"/>
      <c r="S872" s="29"/>
      <c r="T872" s="43"/>
      <c r="U872" s="29"/>
      <c r="V872" s="42"/>
      <c r="W872" s="29"/>
    </row>
    <row r="873" ht="15.75" customHeight="1">
      <c r="A873" s="29"/>
      <c r="B873" s="16"/>
      <c r="C873" s="29"/>
      <c r="D873" s="35"/>
      <c r="E873" s="35"/>
      <c r="F873" s="29"/>
      <c r="G873" s="19"/>
      <c r="H873" s="41"/>
      <c r="I873" s="25"/>
      <c r="J873" s="25"/>
      <c r="K873" s="41"/>
      <c r="L873" s="35"/>
      <c r="M873" s="35"/>
      <c r="N873" s="35"/>
      <c r="O873" s="26"/>
      <c r="P873" s="23"/>
      <c r="Q873" s="24"/>
      <c r="R873" s="29"/>
      <c r="S873" s="29"/>
      <c r="T873" s="43"/>
      <c r="U873" s="29"/>
      <c r="V873" s="42"/>
      <c r="W873" s="29"/>
    </row>
    <row r="874" ht="15.75" customHeight="1">
      <c r="A874" s="29"/>
      <c r="B874" s="16"/>
      <c r="C874" s="29"/>
      <c r="D874" s="35"/>
      <c r="E874" s="35"/>
      <c r="F874" s="29"/>
      <c r="G874" s="19"/>
      <c r="H874" s="41"/>
      <c r="I874" s="25"/>
      <c r="J874" s="25"/>
      <c r="K874" s="41"/>
      <c r="L874" s="35"/>
      <c r="M874" s="35"/>
      <c r="N874" s="35"/>
      <c r="O874" s="26"/>
      <c r="P874" s="23"/>
      <c r="Q874" s="24"/>
      <c r="R874" s="29"/>
      <c r="S874" s="29"/>
      <c r="T874" s="43"/>
      <c r="U874" s="29"/>
      <c r="V874" s="42"/>
      <c r="W874" s="29"/>
    </row>
    <row r="875" ht="15.75" customHeight="1">
      <c r="A875" s="29"/>
      <c r="B875" s="16"/>
      <c r="C875" s="29"/>
      <c r="D875" s="35"/>
      <c r="E875" s="35"/>
      <c r="F875" s="29"/>
      <c r="G875" s="19"/>
      <c r="H875" s="41"/>
      <c r="I875" s="25"/>
      <c r="J875" s="25"/>
      <c r="K875" s="41"/>
      <c r="L875" s="35"/>
      <c r="M875" s="35"/>
      <c r="N875" s="35"/>
      <c r="O875" s="26"/>
      <c r="P875" s="23"/>
      <c r="Q875" s="24"/>
      <c r="R875" s="29"/>
      <c r="S875" s="29"/>
      <c r="T875" s="43"/>
      <c r="U875" s="29"/>
      <c r="V875" s="42"/>
      <c r="W875" s="29"/>
    </row>
    <row r="876" ht="15.75" customHeight="1">
      <c r="A876" s="29"/>
      <c r="B876" s="16"/>
      <c r="C876" s="29"/>
      <c r="D876" s="35"/>
      <c r="E876" s="35"/>
      <c r="F876" s="29"/>
      <c r="G876" s="19"/>
      <c r="H876" s="41"/>
      <c r="I876" s="25"/>
      <c r="J876" s="25"/>
      <c r="K876" s="41"/>
      <c r="L876" s="35"/>
      <c r="M876" s="35"/>
      <c r="N876" s="35"/>
      <c r="O876" s="26"/>
      <c r="P876" s="23"/>
      <c r="Q876" s="24"/>
      <c r="R876" s="29"/>
      <c r="S876" s="29"/>
      <c r="T876" s="43"/>
      <c r="U876" s="29"/>
      <c r="V876" s="42"/>
      <c r="W876" s="29"/>
    </row>
    <row r="877" ht="15.75" customHeight="1">
      <c r="A877" s="29"/>
      <c r="B877" s="16"/>
      <c r="C877" s="29"/>
      <c r="D877" s="35"/>
      <c r="E877" s="35"/>
      <c r="F877" s="29"/>
      <c r="G877" s="19"/>
      <c r="H877" s="41"/>
      <c r="I877" s="25"/>
      <c r="J877" s="25"/>
      <c r="K877" s="41"/>
      <c r="L877" s="35"/>
      <c r="M877" s="35"/>
      <c r="N877" s="35"/>
      <c r="O877" s="26"/>
      <c r="P877" s="23"/>
      <c r="Q877" s="24"/>
      <c r="R877" s="29"/>
      <c r="S877" s="29"/>
      <c r="T877" s="43"/>
      <c r="U877" s="29"/>
      <c r="V877" s="42"/>
      <c r="W877" s="29"/>
    </row>
    <row r="878" ht="15.75" customHeight="1">
      <c r="A878" s="29"/>
      <c r="B878" s="16"/>
      <c r="C878" s="29"/>
      <c r="D878" s="35"/>
      <c r="E878" s="35"/>
      <c r="F878" s="29"/>
      <c r="G878" s="19"/>
      <c r="H878" s="41"/>
      <c r="I878" s="25"/>
      <c r="J878" s="25"/>
      <c r="K878" s="41"/>
      <c r="L878" s="35"/>
      <c r="M878" s="35"/>
      <c r="N878" s="35"/>
      <c r="O878" s="26"/>
      <c r="P878" s="23"/>
      <c r="Q878" s="24"/>
      <c r="R878" s="29"/>
      <c r="S878" s="29"/>
      <c r="T878" s="43"/>
      <c r="U878" s="29"/>
      <c r="V878" s="42"/>
      <c r="W878" s="29"/>
    </row>
    <row r="879" ht="15.75" customHeight="1">
      <c r="A879" s="29"/>
      <c r="B879" s="16"/>
      <c r="C879" s="29"/>
      <c r="D879" s="35"/>
      <c r="E879" s="35"/>
      <c r="F879" s="29"/>
      <c r="G879" s="19"/>
      <c r="H879" s="41"/>
      <c r="I879" s="25"/>
      <c r="J879" s="25"/>
      <c r="K879" s="41"/>
      <c r="L879" s="35"/>
      <c r="M879" s="35"/>
      <c r="N879" s="35"/>
      <c r="O879" s="26"/>
      <c r="P879" s="23"/>
      <c r="Q879" s="24"/>
      <c r="R879" s="29"/>
      <c r="S879" s="29"/>
      <c r="T879" s="43"/>
      <c r="U879" s="29"/>
      <c r="V879" s="42"/>
      <c r="W879" s="29"/>
    </row>
    <row r="880" ht="15.75" customHeight="1">
      <c r="A880" s="29"/>
      <c r="B880" s="16"/>
      <c r="C880" s="29"/>
      <c r="D880" s="35"/>
      <c r="E880" s="35"/>
      <c r="F880" s="29"/>
      <c r="G880" s="19"/>
      <c r="H880" s="41"/>
      <c r="I880" s="25"/>
      <c r="J880" s="25"/>
      <c r="K880" s="41"/>
      <c r="L880" s="35"/>
      <c r="M880" s="35"/>
      <c r="N880" s="35"/>
      <c r="O880" s="26"/>
      <c r="P880" s="23"/>
      <c r="Q880" s="24"/>
      <c r="R880" s="29"/>
      <c r="S880" s="29"/>
      <c r="T880" s="43"/>
      <c r="U880" s="29"/>
      <c r="V880" s="42"/>
      <c r="W880" s="29"/>
    </row>
    <row r="881" ht="15.75" customHeight="1">
      <c r="A881" s="29"/>
      <c r="B881" s="16"/>
      <c r="C881" s="29"/>
      <c r="D881" s="35"/>
      <c r="E881" s="35"/>
      <c r="F881" s="29"/>
      <c r="G881" s="19"/>
      <c r="H881" s="41"/>
      <c r="I881" s="25"/>
      <c r="J881" s="25"/>
      <c r="K881" s="41"/>
      <c r="L881" s="35"/>
      <c r="M881" s="35"/>
      <c r="N881" s="35"/>
      <c r="O881" s="26"/>
      <c r="P881" s="23"/>
      <c r="Q881" s="24"/>
      <c r="R881" s="29"/>
      <c r="S881" s="29"/>
      <c r="T881" s="43"/>
      <c r="U881" s="29"/>
      <c r="V881" s="42"/>
      <c r="W881" s="29"/>
    </row>
    <row r="882" ht="15.75" customHeight="1">
      <c r="A882" s="29"/>
      <c r="B882" s="16"/>
      <c r="C882" s="29"/>
      <c r="D882" s="35"/>
      <c r="E882" s="35"/>
      <c r="F882" s="29"/>
      <c r="G882" s="19"/>
      <c r="H882" s="41"/>
      <c r="I882" s="25"/>
      <c r="J882" s="25"/>
      <c r="K882" s="41"/>
      <c r="L882" s="35"/>
      <c r="M882" s="35"/>
      <c r="N882" s="35"/>
      <c r="O882" s="26"/>
      <c r="P882" s="23"/>
      <c r="Q882" s="24"/>
      <c r="R882" s="29"/>
      <c r="S882" s="29"/>
      <c r="T882" s="43"/>
      <c r="U882" s="29"/>
      <c r="V882" s="42"/>
      <c r="W882" s="29"/>
    </row>
    <row r="883" ht="15.75" customHeight="1">
      <c r="A883" s="29"/>
      <c r="B883" s="16"/>
      <c r="C883" s="29"/>
      <c r="D883" s="35"/>
      <c r="E883" s="35"/>
      <c r="F883" s="29"/>
      <c r="G883" s="19"/>
      <c r="H883" s="41"/>
      <c r="I883" s="25"/>
      <c r="J883" s="25"/>
      <c r="K883" s="41"/>
      <c r="L883" s="35"/>
      <c r="M883" s="35"/>
      <c r="N883" s="35"/>
      <c r="O883" s="26"/>
      <c r="P883" s="23"/>
      <c r="Q883" s="24"/>
      <c r="R883" s="29"/>
      <c r="S883" s="29"/>
      <c r="T883" s="43"/>
      <c r="U883" s="29"/>
      <c r="V883" s="42"/>
      <c r="W883" s="29"/>
    </row>
    <row r="884" ht="15.75" customHeight="1">
      <c r="A884" s="29"/>
      <c r="B884" s="16"/>
      <c r="C884" s="29"/>
      <c r="D884" s="35"/>
      <c r="E884" s="35"/>
      <c r="F884" s="29"/>
      <c r="G884" s="19"/>
      <c r="H884" s="41"/>
      <c r="I884" s="25"/>
      <c r="J884" s="25"/>
      <c r="K884" s="41"/>
      <c r="L884" s="35"/>
      <c r="M884" s="35"/>
      <c r="N884" s="35"/>
      <c r="O884" s="26"/>
      <c r="P884" s="23"/>
      <c r="Q884" s="24"/>
      <c r="R884" s="29"/>
      <c r="S884" s="29"/>
      <c r="T884" s="43"/>
      <c r="U884" s="29"/>
      <c r="V884" s="42"/>
      <c r="W884" s="29"/>
    </row>
    <row r="885" ht="15.75" customHeight="1">
      <c r="A885" s="29"/>
      <c r="B885" s="16"/>
      <c r="C885" s="29"/>
      <c r="D885" s="35"/>
      <c r="E885" s="35"/>
      <c r="F885" s="29"/>
      <c r="G885" s="19"/>
      <c r="H885" s="41"/>
      <c r="I885" s="25"/>
      <c r="J885" s="25"/>
      <c r="K885" s="41"/>
      <c r="L885" s="35"/>
      <c r="M885" s="35"/>
      <c r="N885" s="35"/>
      <c r="O885" s="26"/>
      <c r="P885" s="23"/>
      <c r="Q885" s="24"/>
      <c r="R885" s="29"/>
      <c r="S885" s="29"/>
      <c r="T885" s="43"/>
      <c r="U885" s="29"/>
      <c r="V885" s="42"/>
      <c r="W885" s="29"/>
    </row>
    <row r="886" ht="15.75" customHeight="1">
      <c r="A886" s="29"/>
      <c r="B886" s="16"/>
      <c r="C886" s="29"/>
      <c r="D886" s="35"/>
      <c r="E886" s="35"/>
      <c r="F886" s="29"/>
      <c r="G886" s="19"/>
      <c r="H886" s="41"/>
      <c r="I886" s="25"/>
      <c r="J886" s="25"/>
      <c r="K886" s="41"/>
      <c r="L886" s="35"/>
      <c r="M886" s="35"/>
      <c r="N886" s="35"/>
      <c r="O886" s="26"/>
      <c r="P886" s="23"/>
      <c r="Q886" s="24"/>
      <c r="R886" s="29"/>
      <c r="S886" s="29"/>
      <c r="T886" s="43"/>
      <c r="U886" s="29"/>
      <c r="V886" s="42"/>
      <c r="W886" s="29"/>
    </row>
    <row r="887" ht="15.75" customHeight="1">
      <c r="A887" s="29"/>
      <c r="B887" s="16"/>
      <c r="C887" s="29"/>
      <c r="D887" s="35"/>
      <c r="E887" s="35"/>
      <c r="F887" s="29"/>
      <c r="G887" s="19"/>
      <c r="H887" s="41"/>
      <c r="I887" s="25"/>
      <c r="J887" s="25"/>
      <c r="K887" s="41"/>
      <c r="L887" s="35"/>
      <c r="M887" s="35"/>
      <c r="N887" s="35"/>
      <c r="O887" s="26"/>
      <c r="P887" s="23"/>
      <c r="Q887" s="24"/>
      <c r="R887" s="29"/>
      <c r="S887" s="29"/>
      <c r="T887" s="43"/>
      <c r="U887" s="29"/>
      <c r="V887" s="42"/>
      <c r="W887" s="29"/>
    </row>
    <row r="888" ht="15.75" customHeight="1">
      <c r="A888" s="29"/>
      <c r="B888" s="16"/>
      <c r="C888" s="29"/>
      <c r="D888" s="35"/>
      <c r="E888" s="35"/>
      <c r="F888" s="29"/>
      <c r="G888" s="19"/>
      <c r="H888" s="41"/>
      <c r="I888" s="25"/>
      <c r="J888" s="25"/>
      <c r="K888" s="41"/>
      <c r="L888" s="35"/>
      <c r="M888" s="35"/>
      <c r="N888" s="35"/>
      <c r="O888" s="26"/>
      <c r="P888" s="23"/>
      <c r="Q888" s="24"/>
      <c r="R888" s="29"/>
      <c r="S888" s="29"/>
      <c r="T888" s="43"/>
      <c r="U888" s="29"/>
      <c r="V888" s="42"/>
      <c r="W888" s="29"/>
    </row>
    <row r="889" ht="15.75" customHeight="1">
      <c r="A889" s="29"/>
      <c r="B889" s="16"/>
      <c r="C889" s="29"/>
      <c r="D889" s="35"/>
      <c r="E889" s="35"/>
      <c r="F889" s="29"/>
      <c r="G889" s="19"/>
      <c r="H889" s="41"/>
      <c r="I889" s="25"/>
      <c r="J889" s="25"/>
      <c r="K889" s="41"/>
      <c r="L889" s="35"/>
      <c r="M889" s="35"/>
      <c r="N889" s="35"/>
      <c r="O889" s="26"/>
      <c r="P889" s="23"/>
      <c r="Q889" s="24"/>
      <c r="R889" s="29"/>
      <c r="S889" s="29"/>
      <c r="T889" s="43"/>
      <c r="U889" s="29"/>
      <c r="V889" s="42"/>
      <c r="W889" s="29"/>
    </row>
    <row r="890" ht="15.75" customHeight="1">
      <c r="A890" s="29"/>
      <c r="B890" s="16"/>
      <c r="C890" s="29"/>
      <c r="D890" s="35"/>
      <c r="E890" s="35"/>
      <c r="F890" s="29"/>
      <c r="G890" s="19"/>
      <c r="H890" s="41"/>
      <c r="I890" s="25"/>
      <c r="J890" s="25"/>
      <c r="K890" s="41"/>
      <c r="L890" s="35"/>
      <c r="M890" s="35"/>
      <c r="N890" s="35"/>
      <c r="O890" s="26"/>
      <c r="P890" s="23"/>
      <c r="Q890" s="24"/>
      <c r="R890" s="29"/>
      <c r="S890" s="29"/>
      <c r="T890" s="43"/>
      <c r="U890" s="29"/>
      <c r="V890" s="42"/>
      <c r="W890" s="29"/>
    </row>
    <row r="891" ht="15.75" customHeight="1">
      <c r="A891" s="29"/>
      <c r="B891" s="16"/>
      <c r="C891" s="29"/>
      <c r="D891" s="35"/>
      <c r="E891" s="35"/>
      <c r="F891" s="29"/>
      <c r="G891" s="19"/>
      <c r="H891" s="41"/>
      <c r="I891" s="25"/>
      <c r="J891" s="25"/>
      <c r="K891" s="41"/>
      <c r="L891" s="35"/>
      <c r="M891" s="35"/>
      <c r="N891" s="35"/>
      <c r="O891" s="26"/>
      <c r="P891" s="23"/>
      <c r="Q891" s="24"/>
      <c r="R891" s="29"/>
      <c r="S891" s="29"/>
      <c r="T891" s="43"/>
      <c r="U891" s="29"/>
      <c r="V891" s="42"/>
      <c r="W891" s="29"/>
    </row>
    <row r="892" ht="15.75" customHeight="1">
      <c r="A892" s="29"/>
      <c r="B892" s="16"/>
      <c r="C892" s="29"/>
      <c r="D892" s="35"/>
      <c r="E892" s="35"/>
      <c r="F892" s="29"/>
      <c r="G892" s="19"/>
      <c r="H892" s="41"/>
      <c r="I892" s="25"/>
      <c r="J892" s="25"/>
      <c r="K892" s="41"/>
      <c r="L892" s="35"/>
      <c r="M892" s="35"/>
      <c r="N892" s="35"/>
      <c r="O892" s="26"/>
      <c r="P892" s="23"/>
      <c r="Q892" s="24"/>
      <c r="R892" s="29"/>
      <c r="S892" s="29"/>
      <c r="T892" s="43"/>
      <c r="U892" s="29"/>
      <c r="V892" s="42"/>
      <c r="W892" s="29"/>
    </row>
    <row r="893" ht="15.75" customHeight="1">
      <c r="A893" s="29"/>
      <c r="B893" s="16"/>
      <c r="C893" s="29"/>
      <c r="D893" s="35"/>
      <c r="E893" s="35"/>
      <c r="F893" s="29"/>
      <c r="G893" s="19"/>
      <c r="H893" s="41"/>
      <c r="I893" s="25"/>
      <c r="J893" s="25"/>
      <c r="K893" s="41"/>
      <c r="L893" s="35"/>
      <c r="M893" s="35"/>
      <c r="N893" s="35"/>
      <c r="O893" s="26"/>
      <c r="P893" s="23"/>
      <c r="Q893" s="24"/>
      <c r="R893" s="29"/>
      <c r="S893" s="29"/>
      <c r="T893" s="43"/>
      <c r="U893" s="29"/>
      <c r="V893" s="42"/>
      <c r="W893" s="29"/>
    </row>
    <row r="894" ht="15.75" customHeight="1">
      <c r="A894" s="29"/>
      <c r="B894" s="16"/>
      <c r="C894" s="29"/>
      <c r="D894" s="35"/>
      <c r="E894" s="35"/>
      <c r="F894" s="29"/>
      <c r="G894" s="19"/>
      <c r="H894" s="41"/>
      <c r="I894" s="25"/>
      <c r="J894" s="25"/>
      <c r="K894" s="41"/>
      <c r="L894" s="35"/>
      <c r="M894" s="35"/>
      <c r="N894" s="35"/>
      <c r="O894" s="26"/>
      <c r="P894" s="23"/>
      <c r="Q894" s="24"/>
      <c r="R894" s="29"/>
      <c r="S894" s="29"/>
      <c r="T894" s="43"/>
      <c r="U894" s="29"/>
      <c r="V894" s="42"/>
      <c r="W894" s="29"/>
    </row>
    <row r="895" ht="15.75" customHeight="1">
      <c r="A895" s="29"/>
      <c r="B895" s="16"/>
      <c r="C895" s="29"/>
      <c r="D895" s="35"/>
      <c r="E895" s="35"/>
      <c r="F895" s="29"/>
      <c r="G895" s="19"/>
      <c r="H895" s="41"/>
      <c r="I895" s="25"/>
      <c r="J895" s="25"/>
      <c r="K895" s="41"/>
      <c r="L895" s="35"/>
      <c r="M895" s="35"/>
      <c r="N895" s="35"/>
      <c r="O895" s="26"/>
      <c r="P895" s="23"/>
      <c r="Q895" s="24"/>
      <c r="R895" s="29"/>
      <c r="S895" s="29"/>
      <c r="T895" s="43"/>
      <c r="U895" s="29"/>
      <c r="V895" s="42"/>
      <c r="W895" s="29"/>
    </row>
    <row r="896" ht="15.75" customHeight="1">
      <c r="A896" s="29"/>
      <c r="B896" s="16"/>
      <c r="C896" s="29"/>
      <c r="D896" s="35"/>
      <c r="E896" s="35"/>
      <c r="F896" s="29"/>
      <c r="G896" s="19"/>
      <c r="H896" s="41"/>
      <c r="I896" s="25"/>
      <c r="J896" s="25"/>
      <c r="K896" s="41"/>
      <c r="L896" s="35"/>
      <c r="M896" s="35"/>
      <c r="N896" s="35"/>
      <c r="O896" s="26"/>
      <c r="P896" s="23"/>
      <c r="Q896" s="24"/>
      <c r="R896" s="29"/>
      <c r="S896" s="29"/>
      <c r="T896" s="43"/>
      <c r="U896" s="29"/>
      <c r="V896" s="42"/>
      <c r="W896" s="29"/>
    </row>
    <row r="897" ht="15.75" customHeight="1">
      <c r="A897" s="29"/>
      <c r="B897" s="16"/>
      <c r="C897" s="29"/>
      <c r="D897" s="35"/>
      <c r="E897" s="35"/>
      <c r="F897" s="29"/>
      <c r="G897" s="19"/>
      <c r="H897" s="41"/>
      <c r="I897" s="25"/>
      <c r="J897" s="25"/>
      <c r="K897" s="41"/>
      <c r="L897" s="35"/>
      <c r="M897" s="35"/>
      <c r="N897" s="35"/>
      <c r="O897" s="26"/>
      <c r="P897" s="23"/>
      <c r="Q897" s="24"/>
      <c r="R897" s="29"/>
      <c r="S897" s="29"/>
      <c r="T897" s="43"/>
      <c r="U897" s="29"/>
      <c r="V897" s="42"/>
      <c r="W897" s="29"/>
    </row>
    <row r="898" ht="15.75" customHeight="1">
      <c r="A898" s="29"/>
      <c r="B898" s="16"/>
      <c r="C898" s="29"/>
      <c r="D898" s="35"/>
      <c r="E898" s="35"/>
      <c r="F898" s="29"/>
      <c r="G898" s="19"/>
      <c r="H898" s="41"/>
      <c r="I898" s="25"/>
      <c r="J898" s="25"/>
      <c r="K898" s="41"/>
      <c r="L898" s="35"/>
      <c r="M898" s="35"/>
      <c r="N898" s="35"/>
      <c r="O898" s="26"/>
      <c r="P898" s="23"/>
      <c r="Q898" s="24"/>
      <c r="R898" s="29"/>
      <c r="S898" s="29"/>
      <c r="T898" s="43"/>
      <c r="U898" s="29"/>
      <c r="V898" s="42"/>
      <c r="W898" s="29"/>
    </row>
    <row r="899" ht="15.75" customHeight="1">
      <c r="A899" s="29"/>
      <c r="B899" s="16"/>
      <c r="C899" s="29"/>
      <c r="D899" s="35"/>
      <c r="E899" s="35"/>
      <c r="F899" s="29"/>
      <c r="G899" s="19"/>
      <c r="H899" s="41"/>
      <c r="I899" s="25"/>
      <c r="J899" s="25"/>
      <c r="K899" s="41"/>
      <c r="L899" s="35"/>
      <c r="M899" s="35"/>
      <c r="N899" s="35"/>
      <c r="O899" s="26"/>
      <c r="P899" s="23"/>
      <c r="Q899" s="24"/>
      <c r="R899" s="29"/>
      <c r="S899" s="29"/>
      <c r="T899" s="43"/>
      <c r="U899" s="29"/>
      <c r="V899" s="42"/>
      <c r="W899" s="29"/>
    </row>
    <row r="900" ht="15.75" customHeight="1">
      <c r="A900" s="29"/>
      <c r="B900" s="16"/>
      <c r="C900" s="29"/>
      <c r="D900" s="35"/>
      <c r="E900" s="35"/>
      <c r="F900" s="29"/>
      <c r="G900" s="19"/>
      <c r="H900" s="41"/>
      <c r="I900" s="25"/>
      <c r="J900" s="25"/>
      <c r="K900" s="41"/>
      <c r="L900" s="35"/>
      <c r="M900" s="35"/>
      <c r="N900" s="35"/>
      <c r="O900" s="26"/>
      <c r="P900" s="23"/>
      <c r="Q900" s="24"/>
      <c r="R900" s="29"/>
      <c r="S900" s="29"/>
      <c r="T900" s="43"/>
      <c r="U900" s="29"/>
      <c r="V900" s="42"/>
      <c r="W900" s="29"/>
    </row>
    <row r="901" ht="15.75" customHeight="1">
      <c r="A901" s="29"/>
      <c r="B901" s="16"/>
      <c r="C901" s="29"/>
      <c r="D901" s="35"/>
      <c r="E901" s="35"/>
      <c r="F901" s="29"/>
      <c r="G901" s="19"/>
      <c r="H901" s="41"/>
      <c r="I901" s="25"/>
      <c r="J901" s="25"/>
      <c r="K901" s="41"/>
      <c r="L901" s="35"/>
      <c r="M901" s="35"/>
      <c r="N901" s="35"/>
      <c r="O901" s="26"/>
      <c r="P901" s="23"/>
      <c r="Q901" s="24"/>
      <c r="R901" s="29"/>
      <c r="S901" s="29"/>
      <c r="T901" s="43"/>
      <c r="U901" s="29"/>
      <c r="V901" s="42"/>
      <c r="W901" s="29"/>
    </row>
    <row r="902" ht="15.75" customHeight="1">
      <c r="A902" s="29"/>
      <c r="B902" s="16"/>
      <c r="C902" s="29"/>
      <c r="D902" s="35"/>
      <c r="E902" s="35"/>
      <c r="F902" s="29"/>
      <c r="G902" s="19"/>
      <c r="H902" s="41"/>
      <c r="I902" s="25"/>
      <c r="J902" s="25"/>
      <c r="K902" s="41"/>
      <c r="L902" s="35"/>
      <c r="M902" s="35"/>
      <c r="N902" s="35"/>
      <c r="O902" s="26"/>
      <c r="P902" s="23"/>
      <c r="Q902" s="24"/>
      <c r="R902" s="29"/>
      <c r="S902" s="29"/>
      <c r="T902" s="43"/>
      <c r="U902" s="29"/>
      <c r="V902" s="42"/>
      <c r="W902" s="29"/>
    </row>
    <row r="903" ht="15.75" customHeight="1">
      <c r="A903" s="29"/>
      <c r="B903" s="16"/>
      <c r="C903" s="29"/>
      <c r="D903" s="35"/>
      <c r="E903" s="35"/>
      <c r="F903" s="29"/>
      <c r="G903" s="19"/>
      <c r="H903" s="41"/>
      <c r="I903" s="25"/>
      <c r="J903" s="25"/>
      <c r="K903" s="41"/>
      <c r="L903" s="35"/>
      <c r="M903" s="35"/>
      <c r="N903" s="35"/>
      <c r="O903" s="26"/>
      <c r="P903" s="23"/>
      <c r="Q903" s="24"/>
      <c r="R903" s="29"/>
      <c r="S903" s="29"/>
      <c r="T903" s="43"/>
      <c r="U903" s="29"/>
      <c r="V903" s="42"/>
      <c r="W903" s="29"/>
    </row>
    <row r="904" ht="15.75" customHeight="1">
      <c r="A904" s="29"/>
      <c r="B904" s="16"/>
      <c r="C904" s="29"/>
      <c r="D904" s="35"/>
      <c r="E904" s="35"/>
      <c r="F904" s="29"/>
      <c r="G904" s="19"/>
      <c r="H904" s="41"/>
      <c r="I904" s="25"/>
      <c r="J904" s="25"/>
      <c r="K904" s="41"/>
      <c r="L904" s="35"/>
      <c r="M904" s="35"/>
      <c r="N904" s="35"/>
      <c r="O904" s="26"/>
      <c r="P904" s="23"/>
      <c r="Q904" s="24"/>
      <c r="R904" s="29"/>
      <c r="S904" s="29"/>
      <c r="T904" s="43"/>
      <c r="U904" s="29"/>
      <c r="V904" s="42"/>
      <c r="W904" s="29"/>
    </row>
    <row r="905" ht="15.75" customHeight="1">
      <c r="A905" s="29"/>
      <c r="B905" s="16"/>
      <c r="C905" s="29"/>
      <c r="D905" s="35"/>
      <c r="E905" s="35"/>
      <c r="F905" s="29"/>
      <c r="G905" s="19"/>
      <c r="H905" s="41"/>
      <c r="I905" s="25"/>
      <c r="J905" s="25"/>
      <c r="K905" s="41"/>
      <c r="L905" s="35"/>
      <c r="M905" s="35"/>
      <c r="N905" s="35"/>
      <c r="O905" s="26"/>
      <c r="P905" s="23"/>
      <c r="Q905" s="24"/>
      <c r="R905" s="29"/>
      <c r="S905" s="29"/>
      <c r="T905" s="43"/>
      <c r="U905" s="29"/>
      <c r="V905" s="42"/>
      <c r="W905" s="29"/>
    </row>
    <row r="906" ht="15.75" customHeight="1">
      <c r="A906" s="29"/>
      <c r="B906" s="16"/>
      <c r="C906" s="29"/>
      <c r="D906" s="35"/>
      <c r="E906" s="35"/>
      <c r="F906" s="29"/>
      <c r="G906" s="19"/>
      <c r="H906" s="41"/>
      <c r="I906" s="25"/>
      <c r="J906" s="25"/>
      <c r="K906" s="41"/>
      <c r="L906" s="35"/>
      <c r="M906" s="35"/>
      <c r="N906" s="35"/>
      <c r="O906" s="26"/>
      <c r="P906" s="23"/>
      <c r="Q906" s="24"/>
      <c r="R906" s="29"/>
      <c r="S906" s="29"/>
      <c r="T906" s="43"/>
      <c r="U906" s="29"/>
      <c r="V906" s="42"/>
      <c r="W906" s="29"/>
    </row>
    <row r="907" ht="15.75" customHeight="1">
      <c r="A907" s="29"/>
      <c r="B907" s="16"/>
      <c r="C907" s="29"/>
      <c r="D907" s="35"/>
      <c r="E907" s="35"/>
      <c r="F907" s="29"/>
      <c r="G907" s="19"/>
      <c r="H907" s="41"/>
      <c r="I907" s="25"/>
      <c r="J907" s="25"/>
      <c r="K907" s="41"/>
      <c r="L907" s="35"/>
      <c r="M907" s="35"/>
      <c r="N907" s="35"/>
      <c r="O907" s="26"/>
      <c r="P907" s="23"/>
      <c r="Q907" s="24"/>
      <c r="R907" s="29"/>
      <c r="S907" s="29"/>
      <c r="T907" s="43"/>
      <c r="U907" s="29"/>
      <c r="V907" s="42"/>
      <c r="W907" s="29"/>
    </row>
    <row r="908" ht="15.75" customHeight="1">
      <c r="A908" s="29"/>
      <c r="B908" s="16"/>
      <c r="C908" s="29"/>
      <c r="D908" s="35"/>
      <c r="E908" s="35"/>
      <c r="F908" s="29"/>
      <c r="G908" s="19"/>
      <c r="H908" s="41"/>
      <c r="I908" s="25"/>
      <c r="J908" s="25"/>
      <c r="K908" s="41"/>
      <c r="L908" s="35"/>
      <c r="M908" s="35"/>
      <c r="N908" s="35"/>
      <c r="O908" s="26"/>
      <c r="P908" s="23"/>
      <c r="Q908" s="24"/>
      <c r="R908" s="29"/>
      <c r="S908" s="29"/>
      <c r="T908" s="43"/>
      <c r="U908" s="29"/>
      <c r="V908" s="42"/>
      <c r="W908" s="29"/>
    </row>
    <row r="909" ht="15.75" customHeight="1">
      <c r="A909" s="29"/>
      <c r="B909" s="16"/>
      <c r="C909" s="29"/>
      <c r="D909" s="35"/>
      <c r="E909" s="35"/>
      <c r="F909" s="29"/>
      <c r="G909" s="19"/>
      <c r="H909" s="41"/>
      <c r="I909" s="25"/>
      <c r="J909" s="25"/>
      <c r="K909" s="41"/>
      <c r="L909" s="35"/>
      <c r="M909" s="35"/>
      <c r="N909" s="35"/>
      <c r="O909" s="26"/>
      <c r="P909" s="23"/>
      <c r="Q909" s="24"/>
      <c r="R909" s="29"/>
      <c r="S909" s="29"/>
      <c r="T909" s="43"/>
      <c r="U909" s="29"/>
      <c r="V909" s="42"/>
      <c r="W909" s="29"/>
    </row>
    <row r="910" ht="15.75" customHeight="1">
      <c r="A910" s="29"/>
      <c r="B910" s="16"/>
      <c r="C910" s="29"/>
      <c r="D910" s="35"/>
      <c r="E910" s="35"/>
      <c r="F910" s="29"/>
      <c r="G910" s="19"/>
      <c r="H910" s="41"/>
      <c r="I910" s="25"/>
      <c r="J910" s="25"/>
      <c r="K910" s="41"/>
      <c r="L910" s="35"/>
      <c r="M910" s="35"/>
      <c r="N910" s="35"/>
      <c r="O910" s="26"/>
      <c r="P910" s="23"/>
      <c r="Q910" s="24"/>
      <c r="R910" s="29"/>
      <c r="S910" s="29"/>
      <c r="T910" s="43"/>
      <c r="U910" s="29"/>
      <c r="V910" s="42"/>
      <c r="W910" s="29"/>
    </row>
    <row r="911" ht="15.75" customHeight="1">
      <c r="A911" s="29"/>
      <c r="B911" s="16"/>
      <c r="C911" s="29"/>
      <c r="D911" s="35"/>
      <c r="E911" s="35"/>
      <c r="F911" s="29"/>
      <c r="G911" s="19"/>
      <c r="H911" s="41"/>
      <c r="I911" s="25"/>
      <c r="J911" s="25"/>
      <c r="K911" s="41"/>
      <c r="L911" s="35"/>
      <c r="M911" s="35"/>
      <c r="N911" s="35"/>
      <c r="O911" s="26"/>
      <c r="P911" s="23"/>
      <c r="Q911" s="24"/>
      <c r="R911" s="29"/>
      <c r="S911" s="29"/>
      <c r="T911" s="43"/>
      <c r="U911" s="29"/>
      <c r="V911" s="42"/>
      <c r="W911" s="29"/>
    </row>
    <row r="912" ht="15.75" customHeight="1">
      <c r="A912" s="29"/>
      <c r="B912" s="16"/>
      <c r="C912" s="29"/>
      <c r="D912" s="35"/>
      <c r="E912" s="35"/>
      <c r="F912" s="29"/>
      <c r="G912" s="19"/>
      <c r="H912" s="41"/>
      <c r="I912" s="25"/>
      <c r="J912" s="25"/>
      <c r="K912" s="41"/>
      <c r="L912" s="35"/>
      <c r="M912" s="35"/>
      <c r="N912" s="35"/>
      <c r="O912" s="26"/>
      <c r="P912" s="23"/>
      <c r="Q912" s="24"/>
      <c r="R912" s="29"/>
      <c r="S912" s="29"/>
      <c r="T912" s="43"/>
      <c r="U912" s="29"/>
      <c r="V912" s="42"/>
      <c r="W912" s="29"/>
    </row>
    <row r="913" ht="15.75" customHeight="1">
      <c r="A913" s="29"/>
      <c r="B913" s="16"/>
      <c r="C913" s="29"/>
      <c r="D913" s="35"/>
      <c r="E913" s="35"/>
      <c r="F913" s="29"/>
      <c r="G913" s="19"/>
      <c r="H913" s="41"/>
      <c r="I913" s="25"/>
      <c r="J913" s="25"/>
      <c r="K913" s="41"/>
      <c r="L913" s="35"/>
      <c r="M913" s="35"/>
      <c r="N913" s="35"/>
      <c r="O913" s="26"/>
      <c r="P913" s="23"/>
      <c r="Q913" s="24"/>
      <c r="R913" s="29"/>
      <c r="S913" s="29"/>
      <c r="T913" s="43"/>
      <c r="U913" s="29"/>
      <c r="V913" s="42"/>
      <c r="W913" s="29"/>
    </row>
    <row r="914" ht="15.75" customHeight="1">
      <c r="A914" s="29"/>
      <c r="B914" s="16"/>
      <c r="C914" s="29"/>
      <c r="D914" s="35"/>
      <c r="E914" s="35"/>
      <c r="F914" s="29"/>
      <c r="G914" s="19"/>
      <c r="H914" s="41"/>
      <c r="I914" s="25"/>
      <c r="J914" s="25"/>
      <c r="K914" s="41"/>
      <c r="L914" s="35"/>
      <c r="M914" s="35"/>
      <c r="N914" s="35"/>
      <c r="O914" s="26"/>
      <c r="P914" s="23"/>
      <c r="Q914" s="24"/>
      <c r="R914" s="29"/>
      <c r="S914" s="29"/>
      <c r="T914" s="43"/>
      <c r="U914" s="29"/>
      <c r="V914" s="42"/>
      <c r="W914" s="29"/>
    </row>
    <row r="915" ht="15.75" customHeight="1">
      <c r="A915" s="29"/>
      <c r="B915" s="16"/>
      <c r="C915" s="29"/>
      <c r="D915" s="35"/>
      <c r="E915" s="35"/>
      <c r="F915" s="29"/>
      <c r="G915" s="19"/>
      <c r="H915" s="41"/>
      <c r="I915" s="25"/>
      <c r="J915" s="25"/>
      <c r="K915" s="41"/>
      <c r="L915" s="35"/>
      <c r="M915" s="35"/>
      <c r="N915" s="35"/>
      <c r="O915" s="26"/>
      <c r="P915" s="23"/>
      <c r="Q915" s="24"/>
      <c r="R915" s="29"/>
      <c r="S915" s="29"/>
      <c r="T915" s="43"/>
      <c r="U915" s="29"/>
      <c r="V915" s="42"/>
      <c r="W915" s="29"/>
    </row>
    <row r="916" ht="15.75" customHeight="1">
      <c r="A916" s="29"/>
      <c r="B916" s="16"/>
      <c r="C916" s="29"/>
      <c r="D916" s="35"/>
      <c r="E916" s="35"/>
      <c r="F916" s="29"/>
      <c r="G916" s="19"/>
      <c r="H916" s="41"/>
      <c r="I916" s="25"/>
      <c r="J916" s="25"/>
      <c r="K916" s="41"/>
      <c r="L916" s="35"/>
      <c r="M916" s="35"/>
      <c r="N916" s="35"/>
      <c r="O916" s="26"/>
      <c r="P916" s="23"/>
      <c r="Q916" s="24"/>
      <c r="R916" s="29"/>
      <c r="S916" s="29"/>
      <c r="T916" s="43"/>
      <c r="U916" s="29"/>
      <c r="V916" s="42"/>
      <c r="W916" s="29"/>
    </row>
    <row r="917" ht="15.75" customHeight="1">
      <c r="A917" s="29"/>
      <c r="B917" s="16"/>
      <c r="C917" s="29"/>
      <c r="D917" s="35"/>
      <c r="E917" s="35"/>
      <c r="F917" s="29"/>
      <c r="G917" s="19"/>
      <c r="H917" s="41"/>
      <c r="I917" s="25"/>
      <c r="J917" s="25"/>
      <c r="K917" s="41"/>
      <c r="L917" s="35"/>
      <c r="M917" s="35"/>
      <c r="N917" s="35"/>
      <c r="O917" s="26"/>
      <c r="P917" s="23"/>
      <c r="Q917" s="24"/>
      <c r="R917" s="29"/>
      <c r="S917" s="29"/>
      <c r="T917" s="43"/>
      <c r="U917" s="29"/>
      <c r="V917" s="42"/>
      <c r="W917" s="29"/>
    </row>
    <row r="918" ht="15.75" customHeight="1">
      <c r="A918" s="29"/>
      <c r="B918" s="16"/>
      <c r="C918" s="29"/>
      <c r="D918" s="35"/>
      <c r="E918" s="35"/>
      <c r="F918" s="29"/>
      <c r="G918" s="19"/>
      <c r="H918" s="41"/>
      <c r="I918" s="25"/>
      <c r="J918" s="25"/>
      <c r="K918" s="41"/>
      <c r="L918" s="35"/>
      <c r="M918" s="35"/>
      <c r="N918" s="35"/>
      <c r="O918" s="26"/>
      <c r="P918" s="23"/>
      <c r="Q918" s="24"/>
      <c r="R918" s="29"/>
      <c r="S918" s="29"/>
      <c r="T918" s="43"/>
      <c r="U918" s="29"/>
      <c r="V918" s="42"/>
      <c r="W918" s="29"/>
    </row>
    <row r="919" ht="15.75" customHeight="1">
      <c r="A919" s="29"/>
      <c r="B919" s="16"/>
      <c r="C919" s="29"/>
      <c r="D919" s="35"/>
      <c r="E919" s="35"/>
      <c r="F919" s="29"/>
      <c r="G919" s="19"/>
      <c r="H919" s="41"/>
      <c r="I919" s="25"/>
      <c r="J919" s="25"/>
      <c r="K919" s="41"/>
      <c r="L919" s="35"/>
      <c r="M919" s="35"/>
      <c r="N919" s="35"/>
      <c r="O919" s="26"/>
      <c r="P919" s="23"/>
      <c r="Q919" s="24"/>
      <c r="R919" s="29"/>
      <c r="S919" s="29"/>
      <c r="T919" s="43"/>
      <c r="U919" s="29"/>
      <c r="V919" s="42"/>
      <c r="W919" s="29"/>
    </row>
    <row r="920" ht="15.75" customHeight="1">
      <c r="A920" s="29"/>
      <c r="B920" s="16"/>
      <c r="C920" s="29"/>
      <c r="D920" s="35"/>
      <c r="E920" s="35"/>
      <c r="F920" s="29"/>
      <c r="G920" s="19"/>
      <c r="H920" s="41"/>
      <c r="I920" s="25"/>
      <c r="J920" s="25"/>
      <c r="K920" s="41"/>
      <c r="L920" s="35"/>
      <c r="M920" s="35"/>
      <c r="N920" s="35"/>
      <c r="O920" s="26"/>
      <c r="P920" s="23"/>
      <c r="Q920" s="24"/>
      <c r="R920" s="29"/>
      <c r="S920" s="29"/>
      <c r="T920" s="43"/>
      <c r="U920" s="29"/>
      <c r="V920" s="42"/>
      <c r="W920" s="29"/>
    </row>
    <row r="921" ht="15.75" customHeight="1">
      <c r="A921" s="29"/>
      <c r="B921" s="16"/>
      <c r="C921" s="29"/>
      <c r="D921" s="35"/>
      <c r="E921" s="35"/>
      <c r="F921" s="29"/>
      <c r="G921" s="19"/>
      <c r="H921" s="41"/>
      <c r="I921" s="25"/>
      <c r="J921" s="25"/>
      <c r="K921" s="41"/>
      <c r="L921" s="35"/>
      <c r="M921" s="35"/>
      <c r="N921" s="35"/>
      <c r="O921" s="26"/>
      <c r="P921" s="23"/>
      <c r="Q921" s="24"/>
      <c r="R921" s="29"/>
      <c r="S921" s="29"/>
      <c r="T921" s="43"/>
      <c r="U921" s="29"/>
      <c r="V921" s="42"/>
      <c r="W921" s="29"/>
    </row>
    <row r="922" ht="15.75" customHeight="1">
      <c r="A922" s="29"/>
      <c r="B922" s="16"/>
      <c r="C922" s="29"/>
      <c r="D922" s="35"/>
      <c r="E922" s="35"/>
      <c r="F922" s="29"/>
      <c r="G922" s="19"/>
      <c r="H922" s="41"/>
      <c r="I922" s="25"/>
      <c r="J922" s="25"/>
      <c r="K922" s="41"/>
      <c r="L922" s="35"/>
      <c r="M922" s="35"/>
      <c r="N922" s="35"/>
      <c r="O922" s="26"/>
      <c r="P922" s="23"/>
      <c r="Q922" s="24"/>
      <c r="R922" s="29"/>
      <c r="S922" s="29"/>
      <c r="T922" s="43"/>
      <c r="U922" s="29"/>
      <c r="V922" s="42"/>
      <c r="W922" s="29"/>
    </row>
    <row r="923" ht="15.75" customHeight="1">
      <c r="A923" s="29"/>
      <c r="B923" s="16"/>
      <c r="C923" s="29"/>
      <c r="D923" s="35"/>
      <c r="E923" s="35"/>
      <c r="F923" s="29"/>
      <c r="G923" s="19"/>
      <c r="H923" s="41"/>
      <c r="I923" s="25"/>
      <c r="J923" s="25"/>
      <c r="K923" s="41"/>
      <c r="L923" s="35"/>
      <c r="M923" s="35"/>
      <c r="N923" s="35"/>
      <c r="O923" s="26"/>
      <c r="P923" s="23"/>
      <c r="Q923" s="24"/>
      <c r="R923" s="29"/>
      <c r="S923" s="29"/>
      <c r="T923" s="43"/>
      <c r="U923" s="29"/>
      <c r="V923" s="42"/>
      <c r="W923" s="29"/>
    </row>
    <row r="924" ht="15.75" customHeight="1">
      <c r="A924" s="29"/>
      <c r="B924" s="16"/>
      <c r="C924" s="29"/>
      <c r="D924" s="35"/>
      <c r="E924" s="35"/>
      <c r="F924" s="29"/>
      <c r="G924" s="19"/>
      <c r="H924" s="41"/>
      <c r="I924" s="25"/>
      <c r="J924" s="25"/>
      <c r="K924" s="41"/>
      <c r="L924" s="35"/>
      <c r="M924" s="35"/>
      <c r="N924" s="35"/>
      <c r="O924" s="26"/>
      <c r="P924" s="23"/>
      <c r="Q924" s="24"/>
      <c r="R924" s="29"/>
      <c r="S924" s="29"/>
      <c r="T924" s="43"/>
      <c r="U924" s="29"/>
      <c r="V924" s="42"/>
      <c r="W924" s="29"/>
    </row>
    <row r="925" ht="15.75" customHeight="1">
      <c r="A925" s="29"/>
      <c r="B925" s="16"/>
      <c r="C925" s="29"/>
      <c r="D925" s="35"/>
      <c r="E925" s="35"/>
      <c r="F925" s="29"/>
      <c r="G925" s="19"/>
      <c r="H925" s="41"/>
      <c r="I925" s="25"/>
      <c r="J925" s="25"/>
      <c r="K925" s="41"/>
      <c r="L925" s="35"/>
      <c r="M925" s="35"/>
      <c r="N925" s="35"/>
      <c r="O925" s="26"/>
      <c r="P925" s="23"/>
      <c r="Q925" s="24"/>
      <c r="R925" s="29"/>
      <c r="S925" s="29"/>
      <c r="T925" s="43"/>
      <c r="U925" s="29"/>
      <c r="V925" s="42"/>
      <c r="W925" s="29"/>
    </row>
    <row r="926" ht="15.75" customHeight="1">
      <c r="A926" s="29"/>
      <c r="B926" s="16"/>
      <c r="C926" s="29"/>
      <c r="D926" s="35"/>
      <c r="E926" s="35"/>
      <c r="F926" s="29"/>
      <c r="G926" s="19"/>
      <c r="H926" s="41"/>
      <c r="I926" s="25"/>
      <c r="J926" s="25"/>
      <c r="K926" s="41"/>
      <c r="L926" s="35"/>
      <c r="M926" s="35"/>
      <c r="N926" s="35"/>
      <c r="O926" s="26"/>
      <c r="P926" s="23"/>
      <c r="Q926" s="24"/>
      <c r="R926" s="29"/>
      <c r="S926" s="29"/>
      <c r="T926" s="43"/>
      <c r="U926" s="29"/>
      <c r="V926" s="42"/>
      <c r="W926" s="29"/>
    </row>
    <row r="927" ht="15.75" customHeight="1">
      <c r="A927" s="29"/>
      <c r="B927" s="16"/>
      <c r="C927" s="29"/>
      <c r="D927" s="35"/>
      <c r="E927" s="35"/>
      <c r="F927" s="29"/>
      <c r="G927" s="19"/>
      <c r="H927" s="41"/>
      <c r="I927" s="25"/>
      <c r="J927" s="25"/>
      <c r="K927" s="41"/>
      <c r="L927" s="35"/>
      <c r="M927" s="35"/>
      <c r="N927" s="35"/>
      <c r="O927" s="26"/>
      <c r="P927" s="23"/>
      <c r="Q927" s="24"/>
      <c r="R927" s="29"/>
      <c r="S927" s="29"/>
      <c r="T927" s="43"/>
      <c r="U927" s="29"/>
      <c r="V927" s="42"/>
      <c r="W927" s="29"/>
    </row>
    <row r="928" ht="15.75" customHeight="1">
      <c r="A928" s="29"/>
      <c r="B928" s="16"/>
      <c r="C928" s="29"/>
      <c r="D928" s="35"/>
      <c r="E928" s="35"/>
      <c r="F928" s="29"/>
      <c r="G928" s="19"/>
      <c r="H928" s="41"/>
      <c r="I928" s="25"/>
      <c r="J928" s="25"/>
      <c r="K928" s="41"/>
      <c r="L928" s="35"/>
      <c r="M928" s="35"/>
      <c r="N928" s="35"/>
      <c r="O928" s="26"/>
      <c r="P928" s="23"/>
      <c r="Q928" s="24"/>
      <c r="R928" s="29"/>
      <c r="S928" s="29"/>
      <c r="T928" s="43"/>
      <c r="U928" s="29"/>
      <c r="V928" s="42"/>
      <c r="W928" s="29"/>
    </row>
    <row r="929" ht="15.75" customHeight="1">
      <c r="A929" s="29"/>
      <c r="B929" s="16"/>
      <c r="C929" s="29"/>
      <c r="D929" s="35"/>
      <c r="E929" s="35"/>
      <c r="F929" s="29"/>
      <c r="G929" s="19"/>
      <c r="H929" s="41"/>
      <c r="I929" s="25"/>
      <c r="J929" s="25"/>
      <c r="K929" s="41"/>
      <c r="L929" s="35"/>
      <c r="M929" s="35"/>
      <c r="N929" s="35"/>
      <c r="O929" s="26"/>
      <c r="P929" s="23"/>
      <c r="Q929" s="24"/>
      <c r="R929" s="29"/>
      <c r="S929" s="29"/>
      <c r="T929" s="43"/>
      <c r="U929" s="29"/>
      <c r="V929" s="42"/>
      <c r="W929" s="29"/>
    </row>
    <row r="930" ht="15.75" customHeight="1">
      <c r="A930" s="29"/>
      <c r="B930" s="16"/>
      <c r="C930" s="29"/>
      <c r="D930" s="35"/>
      <c r="E930" s="35"/>
      <c r="F930" s="29"/>
      <c r="G930" s="19"/>
      <c r="H930" s="41"/>
      <c r="I930" s="25"/>
      <c r="J930" s="25"/>
      <c r="K930" s="41"/>
      <c r="L930" s="35"/>
      <c r="M930" s="35"/>
      <c r="N930" s="35"/>
      <c r="O930" s="26"/>
      <c r="P930" s="23"/>
      <c r="Q930" s="24"/>
      <c r="R930" s="29"/>
      <c r="S930" s="29"/>
      <c r="T930" s="43"/>
      <c r="U930" s="29"/>
      <c r="V930" s="42"/>
      <c r="W930" s="29"/>
    </row>
    <row r="931" ht="15.75" customHeight="1">
      <c r="A931" s="29"/>
      <c r="B931" s="16"/>
      <c r="C931" s="29"/>
      <c r="D931" s="35"/>
      <c r="E931" s="35"/>
      <c r="F931" s="29"/>
      <c r="G931" s="19"/>
      <c r="H931" s="41"/>
      <c r="I931" s="25"/>
      <c r="J931" s="25"/>
      <c r="K931" s="41"/>
      <c r="L931" s="35"/>
      <c r="M931" s="35"/>
      <c r="N931" s="35"/>
      <c r="O931" s="26"/>
      <c r="P931" s="23"/>
      <c r="Q931" s="24"/>
      <c r="R931" s="29"/>
      <c r="S931" s="29"/>
      <c r="T931" s="43"/>
      <c r="U931" s="29"/>
      <c r="V931" s="42"/>
      <c r="W931" s="29"/>
    </row>
    <row r="932" ht="15.75" customHeight="1">
      <c r="A932" s="29"/>
      <c r="B932" s="16"/>
      <c r="C932" s="29"/>
      <c r="D932" s="35"/>
      <c r="E932" s="35"/>
      <c r="F932" s="29"/>
      <c r="G932" s="19"/>
      <c r="H932" s="41"/>
      <c r="I932" s="25"/>
      <c r="J932" s="25"/>
      <c r="K932" s="41"/>
      <c r="L932" s="35"/>
      <c r="M932" s="35"/>
      <c r="N932" s="35"/>
      <c r="O932" s="26"/>
      <c r="P932" s="23"/>
      <c r="Q932" s="24"/>
      <c r="R932" s="29"/>
      <c r="S932" s="29"/>
      <c r="T932" s="43"/>
      <c r="U932" s="29"/>
      <c r="V932" s="42"/>
      <c r="W932" s="29"/>
    </row>
    <row r="933" ht="15.75" customHeight="1">
      <c r="A933" s="29"/>
      <c r="B933" s="16"/>
      <c r="C933" s="29"/>
      <c r="D933" s="35"/>
      <c r="E933" s="35"/>
      <c r="F933" s="29"/>
      <c r="G933" s="19"/>
      <c r="H933" s="41"/>
      <c r="I933" s="25"/>
      <c r="J933" s="25"/>
      <c r="K933" s="41"/>
      <c r="L933" s="35"/>
      <c r="M933" s="35"/>
      <c r="N933" s="35"/>
      <c r="O933" s="26"/>
      <c r="P933" s="23"/>
      <c r="Q933" s="24"/>
      <c r="R933" s="29"/>
      <c r="S933" s="29"/>
      <c r="T933" s="43"/>
      <c r="U933" s="29"/>
      <c r="V933" s="42"/>
      <c r="W933" s="29"/>
    </row>
    <row r="934" ht="15.75" customHeight="1">
      <c r="A934" s="29"/>
      <c r="B934" s="16"/>
      <c r="C934" s="29"/>
      <c r="D934" s="35"/>
      <c r="E934" s="35"/>
      <c r="F934" s="29"/>
      <c r="G934" s="19"/>
      <c r="H934" s="41"/>
      <c r="I934" s="25"/>
      <c r="J934" s="25"/>
      <c r="K934" s="41"/>
      <c r="L934" s="35"/>
      <c r="M934" s="35"/>
      <c r="N934" s="35"/>
      <c r="O934" s="26"/>
      <c r="P934" s="23"/>
      <c r="Q934" s="24"/>
      <c r="R934" s="29"/>
      <c r="S934" s="29"/>
      <c r="T934" s="43"/>
      <c r="U934" s="29"/>
      <c r="V934" s="42"/>
      <c r="W934" s="29"/>
    </row>
    <row r="935" ht="15.75" customHeight="1">
      <c r="A935" s="29"/>
      <c r="B935" s="16"/>
      <c r="C935" s="29"/>
      <c r="D935" s="35"/>
      <c r="E935" s="35"/>
      <c r="F935" s="29"/>
      <c r="G935" s="19"/>
      <c r="H935" s="41"/>
      <c r="I935" s="25"/>
      <c r="J935" s="25"/>
      <c r="K935" s="41"/>
      <c r="L935" s="35"/>
      <c r="M935" s="35"/>
      <c r="N935" s="35"/>
      <c r="O935" s="26"/>
      <c r="P935" s="23"/>
      <c r="Q935" s="24"/>
      <c r="R935" s="29"/>
      <c r="S935" s="29"/>
      <c r="T935" s="43"/>
      <c r="U935" s="29"/>
      <c r="V935" s="42"/>
      <c r="W935" s="29"/>
    </row>
    <row r="936" ht="15.75" customHeight="1">
      <c r="A936" s="29"/>
      <c r="B936" s="16"/>
      <c r="C936" s="29"/>
      <c r="D936" s="35"/>
      <c r="E936" s="35"/>
      <c r="F936" s="29"/>
      <c r="G936" s="19"/>
      <c r="H936" s="41"/>
      <c r="I936" s="25"/>
      <c r="J936" s="25"/>
      <c r="K936" s="41"/>
      <c r="L936" s="35"/>
      <c r="M936" s="35"/>
      <c r="N936" s="35"/>
      <c r="O936" s="26"/>
      <c r="P936" s="23"/>
      <c r="Q936" s="24"/>
      <c r="R936" s="29"/>
      <c r="S936" s="29"/>
      <c r="T936" s="43"/>
      <c r="U936" s="29"/>
      <c r="V936" s="42"/>
      <c r="W936" s="29"/>
    </row>
    <row r="937" ht="15.75" customHeight="1">
      <c r="A937" s="29"/>
      <c r="B937" s="16"/>
      <c r="C937" s="29"/>
      <c r="D937" s="35"/>
      <c r="E937" s="35"/>
      <c r="F937" s="29"/>
      <c r="G937" s="19"/>
      <c r="H937" s="41"/>
      <c r="I937" s="25"/>
      <c r="J937" s="25"/>
      <c r="K937" s="41"/>
      <c r="L937" s="35"/>
      <c r="M937" s="35"/>
      <c r="N937" s="35"/>
      <c r="O937" s="26"/>
      <c r="P937" s="23"/>
      <c r="Q937" s="24"/>
      <c r="R937" s="29"/>
      <c r="S937" s="29"/>
      <c r="T937" s="43"/>
      <c r="U937" s="29"/>
      <c r="V937" s="42"/>
      <c r="W937" s="29"/>
    </row>
    <row r="938" ht="15.75" customHeight="1">
      <c r="A938" s="29"/>
      <c r="B938" s="16"/>
      <c r="C938" s="29"/>
      <c r="D938" s="35"/>
      <c r="E938" s="35"/>
      <c r="F938" s="29"/>
      <c r="G938" s="19"/>
      <c r="H938" s="41"/>
      <c r="I938" s="25"/>
      <c r="J938" s="25"/>
      <c r="K938" s="41"/>
      <c r="L938" s="35"/>
      <c r="M938" s="35"/>
      <c r="N938" s="35"/>
      <c r="O938" s="26"/>
      <c r="P938" s="23"/>
      <c r="Q938" s="24"/>
      <c r="R938" s="29"/>
      <c r="S938" s="29"/>
      <c r="T938" s="43"/>
      <c r="U938" s="29"/>
      <c r="V938" s="42"/>
      <c r="W938" s="29"/>
    </row>
    <row r="939" ht="15.75" customHeight="1">
      <c r="A939" s="29"/>
      <c r="B939" s="16"/>
      <c r="C939" s="29"/>
      <c r="D939" s="35"/>
      <c r="E939" s="35"/>
      <c r="F939" s="29"/>
      <c r="G939" s="19"/>
      <c r="H939" s="41"/>
      <c r="I939" s="25"/>
      <c r="J939" s="25"/>
      <c r="K939" s="41"/>
      <c r="L939" s="35"/>
      <c r="M939" s="35"/>
      <c r="N939" s="35"/>
      <c r="O939" s="26"/>
      <c r="P939" s="23"/>
      <c r="Q939" s="24"/>
      <c r="R939" s="29"/>
      <c r="S939" s="29"/>
      <c r="T939" s="43"/>
      <c r="U939" s="29"/>
      <c r="V939" s="42"/>
      <c r="W939" s="29"/>
    </row>
    <row r="940" ht="15.75" customHeight="1">
      <c r="A940" s="29"/>
      <c r="B940" s="16"/>
      <c r="C940" s="29"/>
      <c r="D940" s="35"/>
      <c r="E940" s="35"/>
      <c r="F940" s="29"/>
      <c r="G940" s="19"/>
      <c r="H940" s="41"/>
      <c r="I940" s="25"/>
      <c r="J940" s="25"/>
      <c r="K940" s="41"/>
      <c r="L940" s="35"/>
      <c r="M940" s="35"/>
      <c r="N940" s="35"/>
      <c r="O940" s="26"/>
      <c r="P940" s="23"/>
      <c r="Q940" s="24"/>
      <c r="R940" s="29"/>
      <c r="S940" s="29"/>
      <c r="T940" s="43"/>
      <c r="U940" s="29"/>
      <c r="V940" s="42"/>
      <c r="W940" s="29"/>
    </row>
    <row r="941" ht="15.75" customHeight="1">
      <c r="A941" s="29"/>
      <c r="B941" s="16"/>
      <c r="C941" s="29"/>
      <c r="D941" s="35"/>
      <c r="E941" s="35"/>
      <c r="F941" s="29"/>
      <c r="G941" s="19"/>
      <c r="H941" s="41"/>
      <c r="I941" s="25"/>
      <c r="J941" s="25"/>
      <c r="K941" s="41"/>
      <c r="L941" s="35"/>
      <c r="M941" s="35"/>
      <c r="N941" s="35"/>
      <c r="O941" s="26"/>
      <c r="P941" s="23"/>
      <c r="Q941" s="24"/>
      <c r="R941" s="29"/>
      <c r="S941" s="29"/>
      <c r="T941" s="43"/>
      <c r="U941" s="29"/>
      <c r="V941" s="42"/>
      <c r="W941" s="29"/>
    </row>
    <row r="942" ht="15.75" customHeight="1">
      <c r="A942" s="29"/>
      <c r="B942" s="16"/>
      <c r="C942" s="29"/>
      <c r="D942" s="35"/>
      <c r="E942" s="35"/>
      <c r="F942" s="29"/>
      <c r="G942" s="19"/>
      <c r="H942" s="41"/>
      <c r="I942" s="25"/>
      <c r="J942" s="25"/>
      <c r="K942" s="41"/>
      <c r="L942" s="35"/>
      <c r="M942" s="35"/>
      <c r="N942" s="35"/>
      <c r="O942" s="26"/>
      <c r="P942" s="23"/>
      <c r="Q942" s="24"/>
      <c r="R942" s="29"/>
      <c r="S942" s="29"/>
      <c r="T942" s="43"/>
      <c r="U942" s="29"/>
      <c r="V942" s="42"/>
      <c r="W942" s="29"/>
    </row>
    <row r="943" ht="15.75" customHeight="1">
      <c r="A943" s="29"/>
      <c r="B943" s="16"/>
      <c r="C943" s="29"/>
      <c r="D943" s="35"/>
      <c r="E943" s="35"/>
      <c r="F943" s="29"/>
      <c r="G943" s="19"/>
      <c r="H943" s="41"/>
      <c r="I943" s="25"/>
      <c r="J943" s="25"/>
      <c r="K943" s="41"/>
      <c r="L943" s="35"/>
      <c r="M943" s="35"/>
      <c r="N943" s="35"/>
      <c r="O943" s="26"/>
      <c r="P943" s="23"/>
      <c r="Q943" s="24"/>
      <c r="R943" s="29"/>
      <c r="S943" s="29"/>
      <c r="T943" s="43"/>
      <c r="U943" s="29"/>
      <c r="V943" s="42"/>
      <c r="W943" s="29"/>
    </row>
    <row r="944" ht="15.75" customHeight="1">
      <c r="A944" s="29"/>
      <c r="B944" s="16"/>
      <c r="C944" s="29"/>
      <c r="D944" s="35"/>
      <c r="E944" s="35"/>
      <c r="F944" s="29"/>
      <c r="G944" s="19"/>
      <c r="H944" s="41"/>
      <c r="I944" s="25"/>
      <c r="J944" s="25"/>
      <c r="K944" s="41"/>
      <c r="L944" s="35"/>
      <c r="M944" s="35"/>
      <c r="N944" s="35"/>
      <c r="O944" s="26"/>
      <c r="P944" s="23"/>
      <c r="Q944" s="24"/>
      <c r="R944" s="29"/>
      <c r="S944" s="29"/>
      <c r="T944" s="43"/>
      <c r="U944" s="29"/>
      <c r="V944" s="42"/>
      <c r="W944" s="29"/>
    </row>
    <row r="945" ht="15.75" customHeight="1">
      <c r="A945" s="29"/>
      <c r="B945" s="16"/>
      <c r="C945" s="29"/>
      <c r="D945" s="35"/>
      <c r="E945" s="35"/>
      <c r="F945" s="29"/>
      <c r="G945" s="19"/>
      <c r="H945" s="41"/>
      <c r="I945" s="25"/>
      <c r="J945" s="25"/>
      <c r="K945" s="41"/>
      <c r="L945" s="35"/>
      <c r="M945" s="35"/>
      <c r="N945" s="35"/>
      <c r="O945" s="26"/>
      <c r="P945" s="23"/>
      <c r="Q945" s="24"/>
      <c r="R945" s="29"/>
      <c r="S945" s="29"/>
      <c r="T945" s="43"/>
      <c r="U945" s="29"/>
      <c r="V945" s="42"/>
      <c r="W945" s="29"/>
    </row>
    <row r="946" ht="15.75" customHeight="1">
      <c r="A946" s="29"/>
      <c r="B946" s="16"/>
      <c r="C946" s="29"/>
      <c r="D946" s="35"/>
      <c r="E946" s="35"/>
      <c r="F946" s="29"/>
      <c r="G946" s="19"/>
      <c r="H946" s="41"/>
      <c r="I946" s="25"/>
      <c r="J946" s="25"/>
      <c r="K946" s="41"/>
      <c r="L946" s="35"/>
      <c r="M946" s="35"/>
      <c r="N946" s="35"/>
      <c r="O946" s="26"/>
      <c r="P946" s="23"/>
      <c r="Q946" s="24"/>
      <c r="R946" s="29"/>
      <c r="S946" s="29"/>
      <c r="T946" s="43"/>
      <c r="U946" s="29"/>
      <c r="V946" s="42"/>
      <c r="W946" s="29"/>
    </row>
    <row r="947" ht="15.75" customHeight="1">
      <c r="A947" s="29"/>
      <c r="B947" s="16"/>
      <c r="C947" s="29"/>
      <c r="D947" s="35"/>
      <c r="E947" s="35"/>
      <c r="F947" s="29"/>
      <c r="G947" s="19"/>
      <c r="H947" s="41"/>
      <c r="I947" s="25"/>
      <c r="J947" s="25"/>
      <c r="K947" s="41"/>
      <c r="L947" s="35"/>
      <c r="M947" s="35"/>
      <c r="N947" s="35"/>
      <c r="O947" s="26"/>
      <c r="P947" s="23"/>
      <c r="Q947" s="24"/>
      <c r="R947" s="29"/>
      <c r="S947" s="29"/>
      <c r="T947" s="43"/>
      <c r="U947" s="29"/>
      <c r="V947" s="42"/>
      <c r="W947" s="29"/>
    </row>
    <row r="948" ht="15.75" customHeight="1">
      <c r="A948" s="29"/>
      <c r="B948" s="16"/>
      <c r="C948" s="29"/>
      <c r="D948" s="35"/>
      <c r="E948" s="35"/>
      <c r="F948" s="29"/>
      <c r="G948" s="19"/>
      <c r="H948" s="41"/>
      <c r="I948" s="25"/>
      <c r="J948" s="25"/>
      <c r="K948" s="41"/>
      <c r="L948" s="35"/>
      <c r="M948" s="35"/>
      <c r="N948" s="35"/>
      <c r="O948" s="26"/>
      <c r="P948" s="23"/>
      <c r="Q948" s="24"/>
      <c r="R948" s="29"/>
      <c r="S948" s="29"/>
      <c r="T948" s="43"/>
      <c r="U948" s="29"/>
      <c r="V948" s="42"/>
      <c r="W948" s="29"/>
    </row>
    <row r="949" ht="15.75" customHeight="1">
      <c r="A949" s="29"/>
      <c r="B949" s="16"/>
      <c r="C949" s="29"/>
      <c r="D949" s="35"/>
      <c r="E949" s="35"/>
      <c r="F949" s="29"/>
      <c r="G949" s="19"/>
      <c r="H949" s="41"/>
      <c r="I949" s="25"/>
      <c r="J949" s="25"/>
      <c r="K949" s="41"/>
      <c r="L949" s="35"/>
      <c r="M949" s="35"/>
      <c r="N949" s="35"/>
      <c r="O949" s="26"/>
      <c r="P949" s="23"/>
      <c r="Q949" s="24"/>
      <c r="R949" s="29"/>
      <c r="S949" s="29"/>
      <c r="T949" s="43"/>
      <c r="U949" s="29"/>
      <c r="V949" s="42"/>
      <c r="W949" s="29"/>
    </row>
    <row r="950" ht="15.75" customHeight="1">
      <c r="A950" s="29"/>
      <c r="B950" s="16"/>
      <c r="C950" s="29"/>
      <c r="D950" s="35"/>
      <c r="E950" s="35"/>
      <c r="F950" s="29"/>
      <c r="G950" s="19"/>
      <c r="H950" s="41"/>
      <c r="I950" s="25"/>
      <c r="J950" s="25"/>
      <c r="K950" s="41"/>
      <c r="L950" s="35"/>
      <c r="M950" s="35"/>
      <c r="N950" s="35"/>
      <c r="O950" s="26"/>
      <c r="P950" s="23"/>
      <c r="Q950" s="24"/>
      <c r="R950" s="29"/>
      <c r="S950" s="29"/>
      <c r="T950" s="43"/>
      <c r="U950" s="29"/>
      <c r="V950" s="42"/>
      <c r="W950" s="29"/>
    </row>
    <row r="951" ht="15.75" customHeight="1">
      <c r="A951" s="29"/>
      <c r="B951" s="16"/>
      <c r="C951" s="29"/>
      <c r="D951" s="35"/>
      <c r="E951" s="35"/>
      <c r="F951" s="29"/>
      <c r="G951" s="19"/>
      <c r="H951" s="41"/>
      <c r="I951" s="25"/>
      <c r="J951" s="25"/>
      <c r="K951" s="41"/>
      <c r="L951" s="35"/>
      <c r="M951" s="35"/>
      <c r="N951" s="35"/>
      <c r="O951" s="26"/>
      <c r="P951" s="23"/>
      <c r="Q951" s="24"/>
      <c r="R951" s="29"/>
      <c r="S951" s="29"/>
      <c r="T951" s="43"/>
      <c r="U951" s="29"/>
      <c r="V951" s="42"/>
      <c r="W951" s="29"/>
    </row>
    <row r="952" ht="15.75" customHeight="1">
      <c r="A952" s="29"/>
      <c r="B952" s="16"/>
      <c r="C952" s="29"/>
      <c r="D952" s="35"/>
      <c r="E952" s="35"/>
      <c r="F952" s="29"/>
      <c r="G952" s="19"/>
      <c r="H952" s="41"/>
      <c r="I952" s="25"/>
      <c r="J952" s="25"/>
      <c r="K952" s="41"/>
      <c r="L952" s="35"/>
      <c r="M952" s="35"/>
      <c r="N952" s="35"/>
      <c r="O952" s="26"/>
      <c r="P952" s="23"/>
      <c r="Q952" s="24"/>
      <c r="R952" s="29"/>
      <c r="S952" s="29"/>
      <c r="T952" s="43"/>
      <c r="U952" s="29"/>
      <c r="V952" s="42"/>
      <c r="W952" s="29"/>
    </row>
    <row r="953" ht="15.75" customHeight="1">
      <c r="A953" s="29"/>
      <c r="B953" s="16"/>
      <c r="C953" s="29"/>
      <c r="D953" s="35"/>
      <c r="E953" s="35"/>
      <c r="F953" s="29"/>
      <c r="G953" s="19"/>
      <c r="H953" s="41"/>
      <c r="I953" s="25"/>
      <c r="J953" s="25"/>
      <c r="K953" s="41"/>
      <c r="L953" s="35"/>
      <c r="M953" s="35"/>
      <c r="N953" s="35"/>
      <c r="O953" s="26"/>
      <c r="P953" s="23"/>
      <c r="Q953" s="24"/>
      <c r="R953" s="29"/>
      <c r="S953" s="29"/>
      <c r="T953" s="43"/>
      <c r="U953" s="29"/>
      <c r="V953" s="42"/>
      <c r="W953" s="29"/>
    </row>
    <row r="954" ht="15.75" customHeight="1">
      <c r="A954" s="29"/>
      <c r="B954" s="16"/>
      <c r="C954" s="29"/>
      <c r="D954" s="35"/>
      <c r="E954" s="35"/>
      <c r="F954" s="29"/>
      <c r="G954" s="19"/>
      <c r="H954" s="41"/>
      <c r="I954" s="25"/>
      <c r="J954" s="25"/>
      <c r="K954" s="41"/>
      <c r="L954" s="35"/>
      <c r="M954" s="35"/>
      <c r="N954" s="35"/>
      <c r="O954" s="26"/>
      <c r="P954" s="23"/>
      <c r="Q954" s="24"/>
      <c r="R954" s="29"/>
      <c r="S954" s="29"/>
      <c r="T954" s="43"/>
      <c r="U954" s="29"/>
      <c r="V954" s="42"/>
      <c r="W954" s="29"/>
    </row>
    <row r="955" ht="15.75" customHeight="1">
      <c r="A955" s="29"/>
      <c r="B955" s="16"/>
      <c r="C955" s="29"/>
      <c r="D955" s="35"/>
      <c r="E955" s="35"/>
      <c r="F955" s="29"/>
      <c r="G955" s="19"/>
      <c r="H955" s="41"/>
      <c r="I955" s="25"/>
      <c r="J955" s="25"/>
      <c r="K955" s="41"/>
      <c r="L955" s="35"/>
      <c r="M955" s="35"/>
      <c r="N955" s="35"/>
      <c r="O955" s="26"/>
      <c r="P955" s="23"/>
      <c r="Q955" s="24"/>
      <c r="R955" s="29"/>
      <c r="S955" s="29"/>
      <c r="T955" s="43"/>
      <c r="U955" s="29"/>
      <c r="V955" s="42"/>
      <c r="W955" s="29"/>
    </row>
    <row r="956" ht="15.75" customHeight="1">
      <c r="A956" s="29"/>
      <c r="B956" s="16"/>
      <c r="C956" s="29"/>
      <c r="D956" s="35"/>
      <c r="E956" s="35"/>
      <c r="F956" s="29"/>
      <c r="G956" s="19"/>
      <c r="H956" s="41"/>
      <c r="I956" s="25"/>
      <c r="J956" s="25"/>
      <c r="K956" s="41"/>
      <c r="L956" s="35"/>
      <c r="M956" s="35"/>
      <c r="N956" s="35"/>
      <c r="O956" s="26"/>
      <c r="P956" s="23"/>
      <c r="Q956" s="24"/>
      <c r="R956" s="29"/>
      <c r="S956" s="29"/>
      <c r="T956" s="43"/>
      <c r="U956" s="29"/>
      <c r="V956" s="42"/>
      <c r="W956" s="29"/>
    </row>
    <row r="957" ht="15.75" customHeight="1">
      <c r="A957" s="29"/>
      <c r="B957" s="16"/>
      <c r="C957" s="29"/>
      <c r="D957" s="35"/>
      <c r="E957" s="35"/>
      <c r="F957" s="29"/>
      <c r="G957" s="19"/>
      <c r="H957" s="41"/>
      <c r="I957" s="25"/>
      <c r="J957" s="25"/>
      <c r="K957" s="41"/>
      <c r="L957" s="35"/>
      <c r="M957" s="35"/>
      <c r="N957" s="35"/>
      <c r="O957" s="26"/>
      <c r="P957" s="23"/>
      <c r="Q957" s="24"/>
      <c r="R957" s="29"/>
      <c r="S957" s="29"/>
      <c r="T957" s="43"/>
      <c r="U957" s="29"/>
      <c r="V957" s="42"/>
      <c r="W957" s="29"/>
    </row>
    <row r="958" ht="15.75" customHeight="1">
      <c r="A958" s="29"/>
      <c r="B958" s="16"/>
      <c r="C958" s="29"/>
      <c r="D958" s="35"/>
      <c r="E958" s="35"/>
      <c r="F958" s="29"/>
      <c r="G958" s="19"/>
      <c r="H958" s="41"/>
      <c r="I958" s="25"/>
      <c r="J958" s="25"/>
      <c r="K958" s="41"/>
      <c r="L958" s="35"/>
      <c r="M958" s="35"/>
      <c r="N958" s="35"/>
      <c r="O958" s="26"/>
      <c r="P958" s="23"/>
      <c r="Q958" s="24"/>
      <c r="R958" s="29"/>
      <c r="S958" s="29"/>
      <c r="T958" s="43"/>
      <c r="U958" s="29"/>
      <c r="V958" s="42"/>
      <c r="W958" s="29"/>
    </row>
    <row r="959" ht="15.75" customHeight="1">
      <c r="A959" s="29"/>
      <c r="B959" s="16"/>
      <c r="C959" s="29"/>
      <c r="D959" s="35"/>
      <c r="E959" s="35"/>
      <c r="F959" s="29"/>
      <c r="G959" s="19"/>
      <c r="H959" s="41"/>
      <c r="I959" s="25"/>
      <c r="J959" s="25"/>
      <c r="K959" s="41"/>
      <c r="L959" s="35"/>
      <c r="M959" s="35"/>
      <c r="N959" s="35"/>
      <c r="O959" s="26"/>
      <c r="P959" s="23"/>
      <c r="Q959" s="24"/>
      <c r="R959" s="29"/>
      <c r="S959" s="29"/>
      <c r="T959" s="43"/>
      <c r="U959" s="29"/>
      <c r="V959" s="42"/>
      <c r="W959" s="29"/>
    </row>
    <row r="960" ht="15.75" customHeight="1">
      <c r="A960" s="29"/>
      <c r="B960" s="16"/>
      <c r="C960" s="29"/>
      <c r="D960" s="35"/>
      <c r="E960" s="35"/>
      <c r="F960" s="29"/>
      <c r="G960" s="19"/>
      <c r="H960" s="41"/>
      <c r="I960" s="25"/>
      <c r="J960" s="25"/>
      <c r="K960" s="41"/>
      <c r="L960" s="35"/>
      <c r="M960" s="35"/>
      <c r="N960" s="35"/>
      <c r="O960" s="26"/>
      <c r="P960" s="23"/>
      <c r="Q960" s="24"/>
      <c r="R960" s="29"/>
      <c r="S960" s="29"/>
      <c r="T960" s="43"/>
      <c r="U960" s="29"/>
      <c r="V960" s="42"/>
      <c r="W960" s="29"/>
    </row>
    <row r="961" ht="15.75" customHeight="1">
      <c r="A961" s="29"/>
      <c r="B961" s="16"/>
      <c r="C961" s="29"/>
      <c r="D961" s="35"/>
      <c r="E961" s="35"/>
      <c r="F961" s="29"/>
      <c r="G961" s="19"/>
      <c r="H961" s="41"/>
      <c r="I961" s="25"/>
      <c r="J961" s="25"/>
      <c r="K961" s="41"/>
      <c r="L961" s="35"/>
      <c r="M961" s="35"/>
      <c r="N961" s="35"/>
      <c r="O961" s="26"/>
      <c r="P961" s="23"/>
      <c r="Q961" s="24"/>
      <c r="R961" s="29"/>
      <c r="S961" s="29"/>
      <c r="T961" s="43"/>
      <c r="U961" s="29"/>
      <c r="V961" s="42"/>
      <c r="W961" s="29"/>
    </row>
    <row r="962" ht="15.75" customHeight="1">
      <c r="A962" s="29"/>
      <c r="B962" s="16"/>
      <c r="C962" s="29"/>
      <c r="D962" s="35"/>
      <c r="E962" s="35"/>
      <c r="F962" s="29"/>
      <c r="G962" s="19"/>
      <c r="H962" s="41"/>
      <c r="I962" s="25"/>
      <c r="J962" s="25"/>
      <c r="K962" s="41"/>
      <c r="L962" s="35"/>
      <c r="M962" s="35"/>
      <c r="N962" s="35"/>
      <c r="O962" s="26"/>
      <c r="P962" s="23"/>
      <c r="Q962" s="24"/>
      <c r="R962" s="29"/>
      <c r="S962" s="29"/>
      <c r="T962" s="43"/>
      <c r="U962" s="29"/>
      <c r="V962" s="42"/>
      <c r="W962" s="29"/>
    </row>
    <row r="963" ht="15.75" customHeight="1">
      <c r="A963" s="29"/>
      <c r="B963" s="16"/>
      <c r="C963" s="29"/>
      <c r="D963" s="35"/>
      <c r="E963" s="35"/>
      <c r="F963" s="29"/>
      <c r="G963" s="19"/>
      <c r="H963" s="41"/>
      <c r="I963" s="25"/>
      <c r="J963" s="25"/>
      <c r="K963" s="41"/>
      <c r="L963" s="35"/>
      <c r="M963" s="35"/>
      <c r="N963" s="35"/>
      <c r="O963" s="26"/>
      <c r="P963" s="23"/>
      <c r="Q963" s="24"/>
      <c r="R963" s="29"/>
      <c r="S963" s="29"/>
      <c r="T963" s="43"/>
      <c r="U963" s="29"/>
      <c r="V963" s="42"/>
      <c r="W963" s="29"/>
    </row>
    <row r="964" ht="15.75" customHeight="1">
      <c r="A964" s="29"/>
      <c r="B964" s="16"/>
      <c r="C964" s="29"/>
      <c r="D964" s="35"/>
      <c r="E964" s="35"/>
      <c r="F964" s="29"/>
      <c r="G964" s="19"/>
      <c r="H964" s="41"/>
      <c r="I964" s="25"/>
      <c r="J964" s="25"/>
      <c r="K964" s="41"/>
      <c r="L964" s="35"/>
      <c r="M964" s="35"/>
      <c r="N964" s="35"/>
      <c r="O964" s="26"/>
      <c r="P964" s="23"/>
      <c r="Q964" s="24"/>
      <c r="R964" s="29"/>
      <c r="S964" s="29"/>
      <c r="T964" s="43"/>
      <c r="U964" s="29"/>
      <c r="V964" s="42"/>
      <c r="W964" s="29"/>
    </row>
    <row r="965" ht="15.75" customHeight="1">
      <c r="A965" s="29"/>
      <c r="B965" s="16"/>
      <c r="C965" s="29"/>
      <c r="D965" s="35"/>
      <c r="E965" s="35"/>
      <c r="F965" s="29"/>
      <c r="G965" s="19"/>
      <c r="H965" s="41"/>
      <c r="I965" s="25"/>
      <c r="J965" s="25"/>
      <c r="K965" s="41"/>
      <c r="L965" s="35"/>
      <c r="M965" s="35"/>
      <c r="N965" s="35"/>
      <c r="O965" s="26"/>
      <c r="P965" s="23"/>
      <c r="Q965" s="24"/>
      <c r="R965" s="29"/>
      <c r="S965" s="29"/>
      <c r="T965" s="43"/>
      <c r="U965" s="29"/>
      <c r="V965" s="42"/>
      <c r="W965" s="29"/>
    </row>
    <row r="966" ht="15.75" customHeight="1">
      <c r="A966" s="29"/>
      <c r="B966" s="16"/>
      <c r="C966" s="29"/>
      <c r="D966" s="35"/>
      <c r="E966" s="35"/>
      <c r="F966" s="29"/>
      <c r="G966" s="19"/>
      <c r="H966" s="41"/>
      <c r="I966" s="25"/>
      <c r="J966" s="25"/>
      <c r="K966" s="41"/>
      <c r="L966" s="35"/>
      <c r="M966" s="35"/>
      <c r="N966" s="35"/>
      <c r="O966" s="26"/>
      <c r="P966" s="23"/>
      <c r="Q966" s="24"/>
      <c r="R966" s="29"/>
      <c r="S966" s="29"/>
      <c r="T966" s="43"/>
      <c r="U966" s="29"/>
      <c r="V966" s="42"/>
      <c r="W966" s="29"/>
    </row>
    <row r="967" ht="15.75" customHeight="1">
      <c r="A967" s="29"/>
      <c r="B967" s="16"/>
      <c r="C967" s="29"/>
      <c r="D967" s="35"/>
      <c r="E967" s="35"/>
      <c r="F967" s="29"/>
      <c r="G967" s="19"/>
      <c r="H967" s="41"/>
      <c r="I967" s="25"/>
      <c r="J967" s="25"/>
      <c r="K967" s="41"/>
      <c r="L967" s="35"/>
      <c r="M967" s="35"/>
      <c r="N967" s="35"/>
      <c r="O967" s="26"/>
      <c r="P967" s="23"/>
      <c r="Q967" s="24"/>
      <c r="R967" s="29"/>
      <c r="S967" s="29"/>
      <c r="T967" s="43"/>
      <c r="U967" s="29"/>
      <c r="V967" s="42"/>
      <c r="W967" s="29"/>
    </row>
    <row r="968" ht="15.75" customHeight="1">
      <c r="A968" s="29"/>
      <c r="B968" s="16"/>
      <c r="C968" s="29"/>
      <c r="D968" s="35"/>
      <c r="E968" s="35"/>
      <c r="F968" s="29"/>
      <c r="G968" s="19"/>
      <c r="H968" s="41"/>
      <c r="I968" s="25"/>
      <c r="J968" s="25"/>
      <c r="K968" s="41"/>
      <c r="L968" s="35"/>
      <c r="M968" s="35"/>
      <c r="N968" s="35"/>
      <c r="O968" s="26"/>
      <c r="P968" s="23"/>
      <c r="Q968" s="24"/>
      <c r="R968" s="29"/>
      <c r="S968" s="29"/>
      <c r="T968" s="43"/>
      <c r="U968" s="29"/>
      <c r="V968" s="42"/>
      <c r="W968" s="29"/>
    </row>
    <row r="969" ht="15.75" customHeight="1">
      <c r="A969" s="29"/>
      <c r="B969" s="16"/>
      <c r="C969" s="29"/>
      <c r="D969" s="35"/>
      <c r="E969" s="35"/>
      <c r="F969" s="29"/>
      <c r="G969" s="19"/>
      <c r="H969" s="41"/>
      <c r="I969" s="25"/>
      <c r="J969" s="25"/>
      <c r="K969" s="41"/>
      <c r="L969" s="35"/>
      <c r="M969" s="35"/>
      <c r="N969" s="35"/>
      <c r="O969" s="26"/>
      <c r="P969" s="23"/>
      <c r="Q969" s="24"/>
      <c r="R969" s="29"/>
      <c r="S969" s="29"/>
      <c r="T969" s="43"/>
      <c r="U969" s="29"/>
      <c r="V969" s="42"/>
      <c r="W969" s="29"/>
    </row>
    <row r="970" ht="15.75" customHeight="1">
      <c r="A970" s="29"/>
      <c r="B970" s="16"/>
      <c r="C970" s="29"/>
      <c r="D970" s="35"/>
      <c r="E970" s="35"/>
      <c r="F970" s="29"/>
      <c r="G970" s="19"/>
      <c r="H970" s="41"/>
      <c r="I970" s="25"/>
      <c r="J970" s="25"/>
      <c r="K970" s="41"/>
      <c r="L970" s="35"/>
      <c r="M970" s="35"/>
      <c r="N970" s="35"/>
      <c r="O970" s="26"/>
      <c r="P970" s="23"/>
      <c r="Q970" s="24"/>
      <c r="R970" s="29"/>
      <c r="S970" s="29"/>
      <c r="T970" s="43"/>
      <c r="U970" s="29"/>
      <c r="V970" s="42"/>
      <c r="W970" s="29"/>
    </row>
    <row r="971" ht="15.75" customHeight="1">
      <c r="A971" s="29"/>
      <c r="B971" s="16"/>
      <c r="C971" s="29"/>
      <c r="D971" s="35"/>
      <c r="E971" s="35"/>
      <c r="F971" s="29"/>
      <c r="G971" s="19"/>
      <c r="H971" s="41"/>
      <c r="I971" s="25"/>
      <c r="J971" s="25"/>
      <c r="K971" s="41"/>
      <c r="L971" s="35"/>
      <c r="M971" s="35"/>
      <c r="N971" s="35"/>
      <c r="O971" s="26"/>
      <c r="P971" s="23"/>
      <c r="Q971" s="24"/>
      <c r="R971" s="29"/>
      <c r="S971" s="29"/>
      <c r="T971" s="43"/>
      <c r="U971" s="29"/>
      <c r="V971" s="42"/>
      <c r="W971" s="29"/>
    </row>
    <row r="972" ht="15.75" customHeight="1">
      <c r="A972" s="29"/>
      <c r="B972" s="16"/>
      <c r="C972" s="29"/>
      <c r="D972" s="35"/>
      <c r="E972" s="35"/>
      <c r="F972" s="29"/>
      <c r="G972" s="19"/>
      <c r="H972" s="41"/>
      <c r="I972" s="25"/>
      <c r="J972" s="25"/>
      <c r="K972" s="41"/>
      <c r="L972" s="35"/>
      <c r="M972" s="35"/>
      <c r="N972" s="35"/>
      <c r="O972" s="26"/>
      <c r="P972" s="23"/>
      <c r="Q972" s="24"/>
      <c r="R972" s="29"/>
      <c r="S972" s="29"/>
      <c r="T972" s="43"/>
      <c r="U972" s="29"/>
      <c r="V972" s="42"/>
      <c r="W972" s="29"/>
    </row>
    <row r="973" ht="15.75" customHeight="1">
      <c r="A973" s="29"/>
      <c r="B973" s="16"/>
      <c r="C973" s="29"/>
      <c r="D973" s="35"/>
      <c r="E973" s="35"/>
      <c r="F973" s="29"/>
      <c r="G973" s="19"/>
      <c r="H973" s="41"/>
      <c r="I973" s="25"/>
      <c r="J973" s="25"/>
      <c r="K973" s="41"/>
      <c r="L973" s="35"/>
      <c r="M973" s="35"/>
      <c r="N973" s="35"/>
      <c r="O973" s="26"/>
      <c r="P973" s="23"/>
      <c r="Q973" s="24"/>
      <c r="R973" s="29"/>
      <c r="S973" s="29"/>
      <c r="T973" s="43"/>
      <c r="U973" s="29"/>
      <c r="V973" s="42"/>
      <c r="W973" s="29"/>
    </row>
    <row r="974" ht="15.75" customHeight="1">
      <c r="A974" s="29"/>
      <c r="B974" s="16"/>
      <c r="C974" s="29"/>
      <c r="D974" s="35"/>
      <c r="E974" s="35"/>
      <c r="F974" s="29"/>
      <c r="G974" s="19"/>
      <c r="H974" s="41"/>
      <c r="I974" s="25"/>
      <c r="J974" s="25"/>
      <c r="K974" s="41"/>
      <c r="L974" s="35"/>
      <c r="M974" s="35"/>
      <c r="N974" s="35"/>
      <c r="O974" s="26"/>
      <c r="P974" s="23"/>
      <c r="Q974" s="24"/>
      <c r="R974" s="29"/>
      <c r="S974" s="29"/>
      <c r="T974" s="43"/>
      <c r="U974" s="29"/>
      <c r="V974" s="42"/>
      <c r="W974" s="29"/>
    </row>
    <row r="975" ht="15.75" customHeight="1">
      <c r="A975" s="29"/>
      <c r="B975" s="16"/>
      <c r="C975" s="29"/>
      <c r="D975" s="35"/>
      <c r="E975" s="35"/>
      <c r="F975" s="29"/>
      <c r="G975" s="19"/>
      <c r="H975" s="41"/>
      <c r="I975" s="25"/>
      <c r="J975" s="25"/>
      <c r="K975" s="41"/>
      <c r="L975" s="35"/>
      <c r="M975" s="35"/>
      <c r="N975" s="35"/>
      <c r="O975" s="26"/>
      <c r="P975" s="23"/>
      <c r="Q975" s="24"/>
      <c r="R975" s="29"/>
      <c r="S975" s="29"/>
      <c r="T975" s="43"/>
      <c r="U975" s="29"/>
      <c r="V975" s="42"/>
      <c r="W975" s="29"/>
    </row>
    <row r="976" ht="15.75" customHeight="1">
      <c r="A976" s="29"/>
      <c r="B976" s="16"/>
      <c r="C976" s="29"/>
      <c r="D976" s="35"/>
      <c r="E976" s="35"/>
      <c r="F976" s="29"/>
      <c r="G976" s="19"/>
      <c r="H976" s="41"/>
      <c r="I976" s="25"/>
      <c r="J976" s="25"/>
      <c r="K976" s="41"/>
      <c r="L976" s="35"/>
      <c r="M976" s="35"/>
      <c r="N976" s="35"/>
      <c r="O976" s="26"/>
      <c r="P976" s="23"/>
      <c r="Q976" s="24"/>
      <c r="R976" s="29"/>
      <c r="S976" s="29"/>
      <c r="T976" s="43"/>
      <c r="U976" s="29"/>
      <c r="V976" s="42"/>
      <c r="W976" s="29"/>
    </row>
    <row r="977" ht="15.75" customHeight="1">
      <c r="A977" s="29"/>
      <c r="B977" s="16"/>
      <c r="C977" s="29"/>
      <c r="D977" s="35"/>
      <c r="E977" s="35"/>
      <c r="F977" s="29"/>
      <c r="G977" s="19"/>
      <c r="H977" s="41"/>
      <c r="I977" s="25"/>
      <c r="J977" s="25"/>
      <c r="K977" s="41"/>
      <c r="L977" s="35"/>
      <c r="M977" s="35"/>
      <c r="N977" s="35"/>
      <c r="O977" s="26"/>
      <c r="P977" s="23"/>
      <c r="Q977" s="24"/>
      <c r="R977" s="29"/>
      <c r="S977" s="29"/>
      <c r="T977" s="43"/>
      <c r="U977" s="29"/>
      <c r="V977" s="42"/>
      <c r="W977" s="29"/>
    </row>
    <row r="978" ht="15.75" customHeight="1">
      <c r="A978" s="29"/>
      <c r="B978" s="16"/>
      <c r="C978" s="29"/>
      <c r="D978" s="35"/>
      <c r="E978" s="35"/>
      <c r="F978" s="29"/>
      <c r="G978" s="19"/>
      <c r="H978" s="41"/>
      <c r="I978" s="25"/>
      <c r="J978" s="25"/>
      <c r="K978" s="41"/>
      <c r="L978" s="35"/>
      <c r="M978" s="35"/>
      <c r="N978" s="35"/>
      <c r="O978" s="26"/>
      <c r="P978" s="23"/>
      <c r="Q978" s="24"/>
      <c r="R978" s="29"/>
      <c r="S978" s="29"/>
      <c r="T978" s="43"/>
      <c r="U978" s="29"/>
      <c r="V978" s="42"/>
      <c r="W978" s="29"/>
    </row>
    <row r="979" ht="15.75" customHeight="1">
      <c r="A979" s="29"/>
      <c r="B979" s="16"/>
      <c r="C979" s="29"/>
      <c r="D979" s="35"/>
      <c r="E979" s="35"/>
      <c r="F979" s="29"/>
      <c r="G979" s="19"/>
      <c r="H979" s="41"/>
      <c r="I979" s="25"/>
      <c r="J979" s="25"/>
      <c r="K979" s="41"/>
      <c r="L979" s="35"/>
      <c r="M979" s="35"/>
      <c r="N979" s="35"/>
      <c r="O979" s="26"/>
      <c r="P979" s="23"/>
      <c r="Q979" s="24"/>
      <c r="R979" s="29"/>
      <c r="S979" s="29"/>
      <c r="T979" s="43"/>
      <c r="U979" s="29"/>
      <c r="V979" s="42"/>
      <c r="W979" s="29"/>
    </row>
    <row r="980" ht="15.75" customHeight="1">
      <c r="A980" s="29"/>
      <c r="B980" s="16"/>
      <c r="C980" s="29"/>
      <c r="D980" s="35"/>
      <c r="E980" s="35"/>
      <c r="F980" s="29"/>
      <c r="G980" s="19"/>
      <c r="H980" s="41"/>
      <c r="I980" s="25"/>
      <c r="J980" s="25"/>
      <c r="K980" s="41"/>
      <c r="L980" s="35"/>
      <c r="M980" s="35"/>
      <c r="N980" s="35"/>
      <c r="O980" s="26"/>
      <c r="P980" s="23"/>
      <c r="Q980" s="24"/>
      <c r="R980" s="29"/>
      <c r="S980" s="29"/>
      <c r="T980" s="43"/>
      <c r="U980" s="29"/>
      <c r="V980" s="42"/>
      <c r="W980" s="29"/>
    </row>
    <row r="981" ht="15.75" customHeight="1">
      <c r="A981" s="29"/>
      <c r="B981" s="16"/>
      <c r="C981" s="29"/>
      <c r="D981" s="35"/>
      <c r="E981" s="35"/>
      <c r="F981" s="29"/>
      <c r="G981" s="19"/>
      <c r="H981" s="41"/>
      <c r="I981" s="25"/>
      <c r="J981" s="25"/>
      <c r="K981" s="41"/>
      <c r="L981" s="35"/>
      <c r="M981" s="35"/>
      <c r="N981" s="35"/>
      <c r="O981" s="26"/>
      <c r="P981" s="23"/>
      <c r="Q981" s="24"/>
      <c r="R981" s="29"/>
      <c r="S981" s="29"/>
      <c r="T981" s="43"/>
      <c r="U981" s="29"/>
      <c r="V981" s="42"/>
      <c r="W981" s="29"/>
    </row>
    <row r="982" ht="15.75" customHeight="1">
      <c r="A982" s="29"/>
      <c r="B982" s="16"/>
      <c r="C982" s="29"/>
      <c r="D982" s="35"/>
      <c r="E982" s="35"/>
      <c r="F982" s="29"/>
      <c r="G982" s="19"/>
      <c r="H982" s="41"/>
      <c r="I982" s="25"/>
      <c r="J982" s="25"/>
      <c r="K982" s="41"/>
      <c r="L982" s="35"/>
      <c r="M982" s="35"/>
      <c r="N982" s="35"/>
      <c r="O982" s="26"/>
      <c r="P982" s="23"/>
      <c r="Q982" s="24"/>
      <c r="R982" s="29"/>
      <c r="S982" s="29"/>
      <c r="T982" s="43"/>
      <c r="U982" s="29"/>
      <c r="V982" s="42"/>
      <c r="W982" s="29"/>
    </row>
    <row r="983" ht="15.75" customHeight="1">
      <c r="A983" s="29"/>
      <c r="B983" s="16"/>
      <c r="C983" s="29"/>
      <c r="D983" s="35"/>
      <c r="E983" s="35"/>
      <c r="F983" s="29"/>
      <c r="G983" s="19"/>
      <c r="H983" s="41"/>
      <c r="I983" s="25"/>
      <c r="J983" s="25"/>
      <c r="K983" s="41"/>
      <c r="L983" s="35"/>
      <c r="M983" s="35"/>
      <c r="N983" s="35"/>
      <c r="O983" s="26"/>
      <c r="P983" s="23"/>
      <c r="Q983" s="24"/>
      <c r="R983" s="29"/>
      <c r="S983" s="29"/>
      <c r="T983" s="43"/>
      <c r="U983" s="29"/>
      <c r="V983" s="42"/>
      <c r="W983" s="29"/>
    </row>
    <row r="984" ht="15.75" customHeight="1">
      <c r="A984" s="29"/>
      <c r="B984" s="16"/>
      <c r="C984" s="29"/>
      <c r="D984" s="35"/>
      <c r="E984" s="35"/>
      <c r="F984" s="29"/>
      <c r="G984" s="19"/>
      <c r="H984" s="41"/>
      <c r="I984" s="25"/>
      <c r="J984" s="25"/>
      <c r="K984" s="41"/>
      <c r="L984" s="35"/>
      <c r="M984" s="35"/>
      <c r="N984" s="35"/>
      <c r="O984" s="26"/>
      <c r="P984" s="23"/>
      <c r="Q984" s="24"/>
      <c r="R984" s="29"/>
      <c r="S984" s="29"/>
      <c r="T984" s="43"/>
      <c r="U984" s="29"/>
      <c r="V984" s="42"/>
      <c r="W984" s="29"/>
    </row>
    <row r="985" ht="15.75" customHeight="1">
      <c r="A985" s="29"/>
      <c r="B985" s="16"/>
      <c r="C985" s="29"/>
      <c r="D985" s="35"/>
      <c r="E985" s="35"/>
      <c r="F985" s="29"/>
      <c r="G985" s="19"/>
      <c r="H985" s="41"/>
      <c r="I985" s="25"/>
      <c r="J985" s="25"/>
      <c r="K985" s="41"/>
      <c r="L985" s="35"/>
      <c r="M985" s="35"/>
      <c r="N985" s="35"/>
      <c r="O985" s="26"/>
      <c r="P985" s="23"/>
      <c r="Q985" s="24"/>
      <c r="R985" s="29"/>
      <c r="S985" s="29"/>
      <c r="T985" s="43"/>
      <c r="U985" s="29"/>
      <c r="V985" s="42"/>
      <c r="W985" s="29"/>
    </row>
    <row r="986" ht="15.75" customHeight="1">
      <c r="A986" s="29"/>
      <c r="B986" s="16"/>
      <c r="C986" s="29"/>
      <c r="D986" s="35"/>
      <c r="E986" s="35"/>
      <c r="F986" s="29"/>
      <c r="G986" s="19"/>
      <c r="H986" s="41"/>
      <c r="I986" s="25"/>
      <c r="J986" s="25"/>
      <c r="K986" s="41"/>
      <c r="L986" s="35"/>
      <c r="M986" s="35"/>
      <c r="N986" s="35"/>
      <c r="O986" s="26"/>
      <c r="P986" s="23"/>
      <c r="Q986" s="24"/>
      <c r="R986" s="29"/>
      <c r="S986" s="29"/>
      <c r="T986" s="43"/>
      <c r="U986" s="29"/>
      <c r="V986" s="42"/>
      <c r="W986" s="29"/>
    </row>
    <row r="987" ht="15.75" customHeight="1">
      <c r="A987" s="29"/>
      <c r="B987" s="16"/>
      <c r="C987" s="29"/>
      <c r="D987" s="35"/>
      <c r="E987" s="35"/>
      <c r="F987" s="29"/>
      <c r="G987" s="19"/>
      <c r="H987" s="41"/>
      <c r="I987" s="25"/>
      <c r="J987" s="25"/>
      <c r="K987" s="41"/>
      <c r="L987" s="35"/>
      <c r="M987" s="35"/>
      <c r="N987" s="35"/>
      <c r="O987" s="26"/>
      <c r="P987" s="23"/>
      <c r="Q987" s="24"/>
      <c r="R987" s="29"/>
      <c r="S987" s="29"/>
      <c r="T987" s="43"/>
      <c r="U987" s="29"/>
      <c r="V987" s="42"/>
      <c r="W987" s="29"/>
    </row>
    <row r="988" ht="15.75" customHeight="1">
      <c r="A988" s="29"/>
      <c r="B988" s="16"/>
      <c r="C988" s="29"/>
      <c r="D988" s="35"/>
      <c r="E988" s="35"/>
      <c r="F988" s="29"/>
      <c r="G988" s="19"/>
      <c r="H988" s="41"/>
      <c r="I988" s="25"/>
      <c r="J988" s="25"/>
      <c r="K988" s="41"/>
      <c r="L988" s="35"/>
      <c r="M988" s="35"/>
      <c r="N988" s="35"/>
      <c r="O988" s="26"/>
      <c r="P988" s="23"/>
      <c r="Q988" s="24"/>
      <c r="R988" s="29"/>
      <c r="S988" s="29"/>
      <c r="T988" s="43"/>
      <c r="U988" s="29"/>
      <c r="V988" s="42"/>
      <c r="W988" s="29"/>
    </row>
    <row r="989" ht="15.75" customHeight="1">
      <c r="A989" s="29"/>
      <c r="B989" s="16"/>
      <c r="C989" s="29"/>
      <c r="D989" s="35"/>
      <c r="E989" s="35"/>
      <c r="F989" s="29"/>
      <c r="G989" s="19"/>
      <c r="H989" s="41"/>
      <c r="I989" s="25"/>
      <c r="J989" s="25"/>
      <c r="K989" s="41"/>
      <c r="L989" s="35"/>
      <c r="M989" s="35"/>
      <c r="N989" s="35"/>
      <c r="O989" s="26"/>
      <c r="P989" s="23"/>
      <c r="Q989" s="24"/>
      <c r="R989" s="29"/>
      <c r="S989" s="29"/>
      <c r="T989" s="43"/>
      <c r="U989" s="29"/>
      <c r="V989" s="42"/>
      <c r="W989" s="29"/>
    </row>
    <row r="990" ht="15.75" customHeight="1">
      <c r="A990" s="29"/>
      <c r="B990" s="16"/>
      <c r="C990" s="29"/>
      <c r="D990" s="35"/>
      <c r="E990" s="35"/>
      <c r="F990" s="29"/>
      <c r="G990" s="19"/>
      <c r="H990" s="41"/>
      <c r="I990" s="25"/>
      <c r="J990" s="25"/>
      <c r="K990" s="41"/>
      <c r="L990" s="35"/>
      <c r="M990" s="35"/>
      <c r="N990" s="35"/>
      <c r="O990" s="26"/>
      <c r="P990" s="23"/>
      <c r="Q990" s="24"/>
      <c r="R990" s="29"/>
      <c r="S990" s="29"/>
      <c r="T990" s="43"/>
      <c r="U990" s="29"/>
      <c r="V990" s="42"/>
      <c r="W990" s="29"/>
    </row>
    <row r="991" ht="15.75" customHeight="1">
      <c r="A991" s="29"/>
      <c r="B991" s="16"/>
      <c r="C991" s="29"/>
      <c r="D991" s="35"/>
      <c r="E991" s="35"/>
      <c r="F991" s="29"/>
      <c r="G991" s="19"/>
      <c r="H991" s="41"/>
      <c r="I991" s="25"/>
      <c r="J991" s="25"/>
      <c r="K991" s="41"/>
      <c r="L991" s="35"/>
      <c r="M991" s="35"/>
      <c r="N991" s="35"/>
      <c r="O991" s="26"/>
      <c r="P991" s="23"/>
      <c r="Q991" s="24"/>
      <c r="R991" s="29"/>
      <c r="S991" s="29"/>
      <c r="T991" s="43"/>
      <c r="U991" s="29"/>
      <c r="V991" s="42"/>
      <c r="W991" s="29"/>
    </row>
    <row r="992" ht="15.75" customHeight="1">
      <c r="A992" s="29"/>
      <c r="B992" s="16"/>
      <c r="C992" s="29"/>
      <c r="D992" s="35"/>
      <c r="E992" s="35"/>
      <c r="F992" s="29"/>
      <c r="G992" s="19"/>
      <c r="H992" s="41"/>
      <c r="I992" s="25"/>
      <c r="J992" s="25"/>
      <c r="K992" s="41"/>
      <c r="L992" s="35"/>
      <c r="M992" s="35"/>
      <c r="N992" s="35"/>
      <c r="O992" s="26"/>
      <c r="P992" s="23"/>
      <c r="Q992" s="24"/>
      <c r="R992" s="29"/>
      <c r="S992" s="29"/>
      <c r="T992" s="43"/>
      <c r="U992" s="29"/>
      <c r="V992" s="42"/>
      <c r="W992" s="29"/>
    </row>
    <row r="993" ht="15.75" customHeight="1">
      <c r="A993" s="29"/>
      <c r="B993" s="16"/>
      <c r="C993" s="29"/>
      <c r="D993" s="35"/>
      <c r="E993" s="35"/>
      <c r="F993" s="29"/>
      <c r="G993" s="19"/>
      <c r="H993" s="41"/>
      <c r="I993" s="25"/>
      <c r="J993" s="25"/>
      <c r="K993" s="41"/>
      <c r="L993" s="35"/>
      <c r="M993" s="35"/>
      <c r="N993" s="35"/>
      <c r="O993" s="26"/>
      <c r="P993" s="23"/>
      <c r="Q993" s="24"/>
      <c r="R993" s="29"/>
      <c r="S993" s="29"/>
      <c r="T993" s="43"/>
      <c r="U993" s="29"/>
      <c r="V993" s="42"/>
      <c r="W993" s="29"/>
    </row>
    <row r="994" ht="15.75" customHeight="1">
      <c r="A994" s="29"/>
      <c r="B994" s="16"/>
      <c r="C994" s="29"/>
      <c r="D994" s="35"/>
      <c r="E994" s="35"/>
      <c r="F994" s="29"/>
      <c r="G994" s="19"/>
      <c r="H994" s="41"/>
      <c r="I994" s="25"/>
      <c r="J994" s="25"/>
      <c r="K994" s="41"/>
      <c r="L994" s="35"/>
      <c r="M994" s="35"/>
      <c r="N994" s="35"/>
      <c r="O994" s="26"/>
      <c r="P994" s="23"/>
      <c r="Q994" s="24"/>
      <c r="R994" s="29"/>
      <c r="S994" s="29"/>
      <c r="T994" s="43"/>
      <c r="U994" s="29"/>
      <c r="V994" s="42"/>
      <c r="W994" s="29"/>
    </row>
    <row r="995" ht="15.75" customHeight="1">
      <c r="A995" s="29"/>
      <c r="B995" s="16"/>
      <c r="C995" s="29"/>
      <c r="D995" s="35"/>
      <c r="E995" s="35"/>
      <c r="F995" s="29"/>
      <c r="G995" s="19"/>
      <c r="H995" s="41"/>
      <c r="I995" s="25"/>
      <c r="J995" s="25"/>
      <c r="K995" s="41"/>
      <c r="L995" s="35"/>
      <c r="M995" s="35"/>
      <c r="N995" s="35"/>
      <c r="O995" s="26"/>
      <c r="P995" s="23"/>
      <c r="Q995" s="24"/>
      <c r="R995" s="29"/>
      <c r="S995" s="29"/>
      <c r="T995" s="43"/>
      <c r="U995" s="29"/>
      <c r="V995" s="42"/>
      <c r="W995" s="29"/>
    </row>
    <row r="996" ht="15.75" customHeight="1">
      <c r="A996" s="29"/>
      <c r="B996" s="16"/>
      <c r="C996" s="29"/>
      <c r="D996" s="35"/>
      <c r="E996" s="35"/>
      <c r="F996" s="29"/>
      <c r="G996" s="19"/>
      <c r="H996" s="41"/>
      <c r="I996" s="25"/>
      <c r="J996" s="25"/>
      <c r="K996" s="41"/>
      <c r="L996" s="35"/>
      <c r="M996" s="35"/>
      <c r="N996" s="35"/>
      <c r="O996" s="26"/>
      <c r="P996" s="23"/>
      <c r="Q996" s="24"/>
      <c r="R996" s="29"/>
      <c r="S996" s="29"/>
      <c r="T996" s="43"/>
      <c r="U996" s="29"/>
      <c r="V996" s="42"/>
      <c r="W996" s="29"/>
    </row>
  </sheetData>
  <autoFilter ref="$A$2:$S$100"/>
  <customSheetViews>
    <customSheetView guid="{25E1BA24-ECBE-4852-A36F-A0CF6B0972FA}" filter="1" showAutoFilter="1">
      <autoFilter ref="$A$2:$T$52">
        <filterColumn colId="1">
          <filters>
            <filter val="Сибирский тракт_этап2"/>
          </filters>
        </filterColumn>
      </autoFilter>
    </customSheetView>
    <customSheetView guid="{1B9AC58C-8161-4B46-9499-70AA6E745601}" filter="1" showAutoFilter="1">
      <autoFilter ref="$A$1:$W$1"/>
    </customSheetView>
    <customSheetView guid="{26DBE124-1571-4A1A-AF01-4C2A8D7B2B33}" filter="1" showAutoFilter="1">
      <autoFilter ref="$A$1:$R$996">
        <filterColumn colId="0">
          <filters>
            <filter val="ТМН"/>
          </filters>
        </filterColumn>
        <filterColumn colId="8">
          <filters blank="1">
            <filter val="24.07.2023"/>
            <filter val="31.07.2023"/>
            <filter val="01.08.2023"/>
            <filter val="27.07.2023"/>
            <filter val="04.07.2023"/>
            <filter val="11.07.2023"/>
            <filter val="21.07.2023"/>
            <filter val="18.07.2023"/>
            <filter val="12.07.2023"/>
            <filter val="20.07.2023"/>
            <filter val="26.07.2023"/>
          </filters>
        </filterColumn>
      </autoFilter>
    </customSheetView>
    <customSheetView guid="{CCA79ACA-9100-46DA-8AFD-551F91672251}" filter="1" showAutoFilter="1">
      <autoFilter ref="$A$3:$R$60">
        <filterColumn colId="1">
          <filters>
            <filter val="Ирбитская_ГП-1"/>
            <filter val="Ирбитская_ГП-2"/>
          </filters>
        </filterColumn>
      </autoFilter>
    </customSheetView>
    <customSheetView guid="{43C24919-ED0C-4F9B-A20A-8E519D343F35}" filter="1" showAutoFilter="1">
      <autoFilter ref="$A$1:$W$100">
        <filterColumn colId="1">
          <filters>
            <filter val="Сибирский тракт_этап2"/>
          </filters>
        </filterColumn>
        <filterColumn colId="5">
          <filters blank="1">
            <filter val="КЖ1.1"/>
            <filter val="КЖ1.3"/>
            <filter val="КЖ2.4.В"/>
            <filter val="КЖ2.1.П"/>
            <filter val="КЖ1.2.В"/>
            <filter val="КЖ2.2.В"/>
            <filter val="КЖ2.1.В"/>
          </filters>
        </filterColumn>
      </autoFilter>
    </customSheetView>
    <customSheetView guid="{C6B5952D-C9C7-43E7-85D7-94330B37EFD9}" filter="1" showAutoFilter="1">
      <autoFilter ref="$A$1:$K$996"/>
    </customSheetView>
  </customSheetViews>
  <conditionalFormatting sqref="Q3:Q996">
    <cfRule type="cellIs" dxfId="0" priority="1" operator="greaterThan">
      <formula>"5%"</formula>
    </cfRule>
  </conditionalFormatting>
  <conditionalFormatting sqref="Q3:Q996">
    <cfRule type="cellIs" dxfId="1" priority="2" operator="between">
      <formula>0</formula>
      <formula>"5%"</formula>
    </cfRule>
  </conditionalFormatting>
  <conditionalFormatting sqref="Q3:Q996">
    <cfRule type="cellIs" dxfId="1" priority="3" operator="between">
      <formula>"-10%"</formula>
      <formula>0</formula>
    </cfRule>
  </conditionalFormatting>
  <conditionalFormatting sqref="Q1:Q996">
    <cfRule type="cellIs" dxfId="2" priority="4" operator="lessThan">
      <formula>"-10.01%"</formula>
    </cfRule>
  </conditionalFormatting>
  <dataValidations>
    <dataValidation type="list" allowBlank="1" showErrorMessage="1" sqref="K8:K996">
      <formula1>'Нормативные показатели (рабочая'!$E$3:$E$40</formula1>
    </dataValidation>
    <dataValidation type="list" allowBlank="1" showErrorMessage="1" sqref="H3:H996">
      <formula1>"нет,1,2,3,4,5,6,7,8,9,10,11,12,13,14,15,16,17,18,19,20"</formula1>
    </dataValidation>
    <dataValidation type="list" allowBlank="1" showErrorMessage="1" sqref="B3:B996">
      <formula1>lib!$A:$A</formula1>
    </dataValidation>
    <dataValidation type="list" allowBlank="1" showErrorMessage="1" sqref="C3:C996">
      <formula1>lib!$R$2:$R996</formula1>
    </dataValidation>
    <dataValidation type="list" allowBlank="1" showErrorMessage="1" sqref="A3:A996">
      <formula1>lib!$P$2:$P$7</formula1>
    </dataValidation>
    <dataValidation type="list" allowBlank="1" showErrorMessage="1" sqref="F3:F996">
      <formula1>lib!$S$2:$S$15</formula1>
    </dataValidation>
    <dataValidation type="list" allowBlank="1" showErrorMessage="1" sqref="K3:K7">
      <formula1>'Нормативные показатели (рабочая'!$E$3:$E$21</formula1>
    </dataValidation>
    <dataValidation type="list" allowBlank="1" showErrorMessage="1" sqref="R3:R98">
      <formula1>"Да,Нет,Не норм"</formula1>
    </dataValidation>
  </dataValidations>
  <hyperlinks>
    <hyperlink r:id="rId2" ref="W64"/>
    <hyperlink r:id="rId3" ref="W71"/>
    <hyperlink r:id="rId4" ref="W99"/>
    <hyperlink r:id="rId5" ref="W100"/>
    <hyperlink r:id="rId6" ref="W101"/>
    <hyperlink r:id="rId7" ref="W102"/>
    <hyperlink r:id="rId8" ref="W103"/>
    <hyperlink r:id="rId9" ref="W104"/>
    <hyperlink r:id="rId10" ref="W105"/>
  </hyperlinks>
  <printOptions/>
  <pageMargins bottom="0.75" footer="0.0" header="0.0" left="0.7" right="0.7" top="0.75"/>
  <pageSetup paperSize="9" orientation="portrait"/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xSplit="9.0" ySplit="1.0" topLeftCell="J2" activePane="bottomRight" state="frozen"/>
      <selection activeCell="J1" sqref="J1" pane="topRight"/>
      <selection activeCell="A2" sqref="A2" pane="bottomLeft"/>
      <selection activeCell="J2" sqref="J2" pane="bottomRight"/>
    </sheetView>
  </sheetViews>
  <sheetFormatPr customHeight="1" defaultColWidth="14.43" defaultRowHeight="15.0"/>
  <cols>
    <col customWidth="1" min="1" max="1" width="9.0"/>
    <col customWidth="1" min="2" max="2" width="22.43"/>
    <col customWidth="1" min="3" max="3" width="11.0"/>
    <col customWidth="1" min="4" max="4" width="7.29"/>
    <col customWidth="1" min="5" max="5" width="8.14"/>
    <col customWidth="1" min="6" max="6" width="6.71"/>
    <col customWidth="1" min="7" max="7" width="5.43"/>
    <col customWidth="1" min="8" max="8" width="14.71"/>
    <col customWidth="1" min="9" max="9" width="7.71"/>
    <col customWidth="1" min="10" max="10" width="10.71"/>
    <col customWidth="1" min="11" max="11" width="6.43"/>
    <col customWidth="1" min="12" max="12" width="8.29"/>
    <col customWidth="1" min="13" max="13" width="6.57"/>
    <col customWidth="1" min="14" max="14" width="8.0"/>
    <col customWidth="1" min="15" max="15" width="11.86"/>
    <col customWidth="1" min="16" max="16" width="11.57"/>
    <col customWidth="1" min="17" max="17" width="11.29"/>
    <col customWidth="1" min="18" max="18" width="12.14"/>
    <col customWidth="1" min="19" max="20" width="11.43"/>
    <col customWidth="1" min="21" max="21" width="11.71"/>
    <col customWidth="1" min="22" max="23" width="12.57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138</v>
      </c>
      <c r="F1" s="3" t="s">
        <v>4</v>
      </c>
      <c r="G1" s="2" t="s">
        <v>139</v>
      </c>
      <c r="H1" s="4" t="s">
        <v>11</v>
      </c>
      <c r="I1" s="4" t="s">
        <v>140</v>
      </c>
      <c r="J1" s="3" t="s">
        <v>141</v>
      </c>
      <c r="K1" s="3" t="s">
        <v>142</v>
      </c>
      <c r="L1" s="3" t="s">
        <v>143</v>
      </c>
      <c r="M1" s="3" t="s">
        <v>144</v>
      </c>
      <c r="N1" s="3" t="s">
        <v>145</v>
      </c>
      <c r="O1" s="2" t="s">
        <v>146</v>
      </c>
      <c r="P1" s="2" t="s">
        <v>147</v>
      </c>
      <c r="Q1" s="2" t="s">
        <v>16</v>
      </c>
      <c r="R1" s="4" t="s">
        <v>148</v>
      </c>
      <c r="S1" s="2" t="s">
        <v>149</v>
      </c>
      <c r="T1" s="2" t="s">
        <v>16</v>
      </c>
      <c r="U1" s="2" t="s">
        <v>150</v>
      </c>
      <c r="V1" s="2" t="s">
        <v>151</v>
      </c>
      <c r="W1" s="2" t="s">
        <v>22</v>
      </c>
    </row>
    <row r="2">
      <c r="A2" s="9"/>
      <c r="B2" s="10"/>
      <c r="C2" s="10"/>
      <c r="D2" s="9"/>
      <c r="E2" s="9"/>
      <c r="F2" s="9"/>
      <c r="G2" s="9"/>
      <c r="H2" s="12"/>
      <c r="I2" s="12"/>
      <c r="J2" s="12"/>
      <c r="K2" s="9"/>
      <c r="L2" s="9"/>
      <c r="M2" s="9"/>
      <c r="N2" s="9"/>
      <c r="O2" s="9"/>
      <c r="P2" s="9"/>
      <c r="Q2" s="9"/>
      <c r="R2" s="12"/>
      <c r="S2" s="9"/>
      <c r="T2" s="9"/>
      <c r="U2" s="9"/>
      <c r="V2" s="9"/>
      <c r="W2" s="9"/>
    </row>
    <row r="3">
      <c r="A3" s="16"/>
      <c r="B3" s="16"/>
      <c r="C3" s="16" t="s">
        <v>25</v>
      </c>
      <c r="D3" s="18"/>
      <c r="E3" s="44"/>
      <c r="F3" s="18">
        <v>26.0</v>
      </c>
      <c r="G3" s="19"/>
      <c r="H3" s="20" t="s">
        <v>152</v>
      </c>
      <c r="I3" s="20"/>
      <c r="J3" s="21"/>
      <c r="K3" s="18"/>
      <c r="L3" s="18"/>
      <c r="M3" s="18"/>
      <c r="N3" s="18"/>
      <c r="O3" s="45" t="str">
        <f t="shared" ref="O3:O11" si="1">IFERROR(L3/M3)</f>
        <v/>
      </c>
      <c r="P3" s="46" t="str">
        <f>IFERROR(__xludf.DUMMYFUNCTION("IFERROR(IF(F3&lt;26,(join("" - "",FILTER('Нормативные показатели (рабочая'!$O:$O,'Нормативные показатели (рабочая'!$K:$K=$C3,'Нормативные показатели (рабочая'!$L:$L=$H3,'Нормативные показатели (рабочая'!$N:$N=""на ОРП""))),""нет нормы""))"),"нет нормы")</f>
        <v>нет нормы</v>
      </c>
      <c r="Q3" s="47" t="str">
        <f>IFERROR(__xludf.DUMMYFUNCTION("IFERROR(IF(F3&lt;26, ifs(FILTER('Нормативные показатели (рабочая'!O:O,'Нормативные показатели (рабочая'!K:K=C3,'Нормативные показатели (рабочая'!L:L=H3,'Нормативные показатели (рабочая'!N:N=""на ОРП"",'Нормативные показатели (рабочая'!M:M=""min"")&gt;O3,(-1) *("&amp;"FILTER('Нормативные показатели (рабочая'!O:O,'Нормативные показатели (рабочая'!K:K=C3,'Нормативные показатели (рабочая'!L:L=H3,'Нормативные показатели (рабочая'!N:N=""на ОРП"",'Нормативные показатели (рабочая'!M:M=""min"")-O3)/FILTER('Нормативные показате"&amp;"ли (рабочая'!O:O,'Нормативные показатели (рабочая'!K:K=C3,'Нормативные показатели (рабочая'!L:L=H3,'Нормативные показатели (рабочая'!N:N=""на ОРП"",'Нормативные показатели (рабочая'!M:M=""min""),AND(O3&gt;=FILTER('Нормативные показатели (рабочая'!O:O,'Нормат"&amp;"ивные показатели (рабочая'!K:K=C3,'Нормативные показатели (рабочая'!L:L=H3,'Нормативные показатели (рабочая'!N:N=""на ОРП"",'Нормативные показатели (рабочая'!M:M=""min""),O3&lt;=FILTER('Нормативные показатели (рабочая'!O:O,'Нормативные показатели (рабочая'!K"&amp;":K=C3,'Нормативные показатели (рабочая'!L:L=H3,'Нормативные показатели (рабочая'!N:N=""на ОРП"",'Нормативные показатели (рабочая'!M:M=""max"")),""нет"",FILTER('Нормативные показатели (рабочая'!O:O,'Нормативные показатели (рабочая'!K:K=C3,'Нормативные пока"&amp;"затели (рабочая'!L:L=H3,'Нормативные показатели (рабочая'!N:N=""на ОРП"",'Нормативные показатели (рабочая'!M:M=""max"")&lt;O3,(O3-FILTER('Нормативные показатели (рабочая'!O:O,'Нормативные показатели (рабочая'!K:K=C3,'Нормативные показатели (рабочая'!L:L=H3,'"&amp;"Нормативные показатели (рабочая'!N:N=""на ОРП"",'Нормативные показатели (рабочая'!M:M=""max""))/FILTER('Нормативные показатели (рабочая'!O:O,'Нормативные показатели (рабочая'!K:K=C3,'Нормативные показатели (рабочая'!L:L=H3,'Нормативные показатели (рабочая"&amp;"'!N:N=""на ОРП"",'Нормативные показатели (рабочая'!M:M=""max"")),""нет нормы""),""нет нормы"")"),"нет нормы")</f>
        <v>нет нормы</v>
      </c>
      <c r="R3" s="45" t="str">
        <f t="shared" ref="R3:R37" si="2">IFERROR(L3/N3)</f>
        <v/>
      </c>
      <c r="S3" s="46" t="str">
        <f>IFERROR(__xludf.DUMMYFUNCTION("IFERROR(IF(F3&lt;26,join("" - "",FILTER('Нормативные показатели (рабочая'!$O:$O,'Нормативные показатели (рабочая'!$K:$K=$C3,'Нормативные показатели (рабочая'!$L:$L=$H3,'Нормативные показатели (рабочая'!$N:$N=""на S плиты"")),""нет нормы""))"),"нет нормы")</f>
        <v>нет нормы</v>
      </c>
      <c r="T3" s="48" t="str">
        <f>IFERROR(__xludf.DUMMYFUNCTION("IFERROR(IF(F3&lt;26, ifs(FILTER('Нормативные показатели (рабочая'!O:O,'Нормативные показатели (рабочая'!K:K=C3,'Нормативные показатели (рабочая'!L:L=H3,'Нормативные показатели (рабочая'!N:N=""на S плиты"",'Нормативные показатели (рабочая'!M:M=""min"")&gt;R3,(-1"&amp;") *(FILTER('Нормативные показатели (рабочая'!O:O,'Нормативные показатели (рабочая'!K:K=C3,'Нормативные показатели (рабочая'!L:L=H3,'Нормативные показатели (рабочая'!N:N=""на S плиты"",'Нормативные показатели (рабочая'!M:M=""min"")-R3)/FILTER('Нормативные "&amp;"показатели (рабочая'!O:O,'Нормативные показатели (рабочая'!K:K=C3,'Нормативные показатели (рабочая'!L:L=H3,'Нормативные показатели (рабочая'!N:N=""на S плиты"",'Нормативные показатели (рабочая'!M:M=""min""),AND(R3&gt;=FILTER('Нормативные показатели (рабочая'"&amp;"!O:O,'Нормативные показатели (рабочая'!K:K=C3,'Нормативные показатели (рабочая'!L:L=H3,'Нормативные показатели (рабочая'!N:N=""на S плиты"",'Нормативные показатели (рабочая'!M:M=""min""),R3&lt;=FILTER('Нормативные показатели (рабочая'!O:O,'Нормативные показа"&amp;"тели (рабочая'!K:K=C3,'Нормативные показатели (рабочая'!L:L=H3,'Нормативные показатели (рабочая'!N:N=""на S плиты"",'Нормативные показатели (рабочая'!M:M=""max"")),""нет"",FILTER('Нормативные показатели (рабочая'!O:O,'Нормативные показатели (рабочая'!K:K="&amp;"C3,'Нормативные показатели (рабочая'!L:L=H3,'Нормативные показатели (рабочая'!N:N=""на S плиты"",'Нормативные показатели (рабочая'!M:M=""max"")&lt;R3,(R3-FILTER('Нормативные показатели (рабочая'!O:O,'Нормативные показатели (рабочая'!K:K=C3,'Нормативные показ"&amp;"атели (рабочая'!L:L=H3,'Нормативные показатели (рабочая'!N:N=""на S плиты"",'Нормативные показатели (рабочая'!M:M=""max""))/FILTER('Нормативные показатели (рабочая'!O:O,'Нормативные показатели (рабочая'!K:K=C3,'Нормативные показатели (рабочая'!L:L=H3,'Нор"&amp;"мативные показатели (рабочая'!N:N=""на S плиты"",'Нормативные показатели (рабочая'!M:M=""max"")),""нет нормы""),""нет нормы"")"),"нет нормы")</f>
        <v>нет нормы</v>
      </c>
      <c r="U3" s="20"/>
      <c r="V3" s="18" t="s">
        <v>153</v>
      </c>
      <c r="W3" s="25"/>
    </row>
    <row r="4">
      <c r="A4" s="16" t="s">
        <v>23</v>
      </c>
      <c r="B4" s="16" t="s">
        <v>46</v>
      </c>
      <c r="C4" s="16" t="s">
        <v>25</v>
      </c>
      <c r="D4" s="18" t="s">
        <v>47</v>
      </c>
      <c r="E4" s="44" t="s">
        <v>29</v>
      </c>
      <c r="F4" s="18">
        <v>18.0</v>
      </c>
      <c r="G4" s="19" t="s">
        <v>154</v>
      </c>
      <c r="H4" s="20" t="s">
        <v>152</v>
      </c>
      <c r="I4" s="20" t="s">
        <v>27</v>
      </c>
      <c r="J4" s="21">
        <v>45104.0</v>
      </c>
      <c r="K4" s="18">
        <v>30.0</v>
      </c>
      <c r="L4" s="18">
        <v>190.1</v>
      </c>
      <c r="M4" s="18">
        <v>456.1</v>
      </c>
      <c r="N4" s="18">
        <v>630.0</v>
      </c>
      <c r="O4" s="45">
        <f t="shared" si="1"/>
        <v>0.4167945626</v>
      </c>
      <c r="P4" s="46" t="str">
        <f>IFERROR(__xludf.DUMMYFUNCTION("IFERROR(IF(F4&lt;26,join("" - "",FILTER('Нормативные показатели (рабочая'!$O:$O,'Нормативные показатели (рабочая'!$K:$K=$C4,'Нормативные показатели (рабочая'!$L:$L=$H4,'Нормативные показатели (рабочая'!$N:$N=""на ОРП"")),""нет нормы""))"),"0,35 - 0,45")</f>
        <v>0,35 - 0,45</v>
      </c>
      <c r="Q4" s="47" t="str">
        <f>IFERROR(__xludf.DUMMYFUNCTION("IFS(F4&gt;26,""нет нормы"",C4="""","""",C4&lt;&gt;""МКД"",""нет нормы"",H4&lt;&gt;""Типовой"",""нет нормы"", AND(F4&lt;26,C4=""МКД""),ifs(FILTER('Нормативные показатели (рабочая'!O:O,'Нормативные показатели (рабочая'!K:K=C4,'Нормативные показатели (рабочая'!L:L=H4,'Нормати"&amp;"вные показатели (рабочая'!N:N=""на ОРП"",'Нормативные показатели (рабочая'!M:M=""min"")&gt;O4,(-1) *(FILTER('Нормативные показатели (рабочая'!O:O,'Нормативные показатели (рабочая'!K:K=C4,'Нормативные показатели (рабочая'!L:L=H4,'Нормативные показатели (рабоч"&amp;"ая'!N:N=""на ОРП"",'Нормативные показатели (рабочая'!M:M=""min"")-O4)/FILTER('Нормативные показатели (рабочая'!O:O,'Нормативные показатели (рабочая'!K:K=C4,'Нормативные показатели (рабочая'!L:L=H4,'Нормативные показатели (рабочая'!N:N=""на ОРП"",'Норматив"&amp;"ные показатели (рабочая'!M:M=""min""),AND(O4&gt;=FILTER('Нормативные показатели (рабочая'!O:O,'Нормативные показатели (рабочая'!K:K=C4,'Нормативные показатели (рабочая'!L:L=H4,'Нормативные показатели (рабочая'!N:N=""на ОРП"",'Нормативные показатели (рабочая'"&amp;"!M:M=""min""),O4&lt;=FILTER('Нормативные показатели (рабочая'!O:O,'Нормативные показатели (рабочая'!K:K=C4,'Нормативные показатели (рабочая'!L:L=H4,'Нормативные показатели (рабочая'!N:N=""на ОРП"",'Нормативные показатели (рабочая'!M:M=""max"")),""нет"",FILTE"&amp;"R('Нормативные показатели (рабочая'!O:O,'Нормативные показатели (рабочая'!K:K=C4,'Нормативные показатели (рабочая'!L:L=H4,'Нормативные показатели (рабочая'!N:N=""на ОРП"",'Нормативные показатели (рабочая'!M:M=""max"")&lt;O4,(O4-FILTER('Нормативные показатели"&amp;" (рабочая'!O:O,'Нормативные показатели (рабочая'!K:K=C4,'Нормативные показатели (рабочая'!L:L=H4,'Нормативные показатели (рабочая'!N:N=""на ОРП"",'Нормативные показатели (рабочая'!M:M=""max""))/FILTER('Нормативные показатели (рабочая'!O:O,'Нормативные пок"&amp;"азатели (рабочая'!K:K=C4,'Нормативные показатели (рабочая'!L:L=H4,'Нормативные показатели (рабочая'!N:N=""на ОРП"",'Нормативные показатели (рабочая'!M:M=""max"")))"),"нет")</f>
        <v>нет</v>
      </c>
      <c r="R4" s="45">
        <f t="shared" si="2"/>
        <v>0.3017460317</v>
      </c>
      <c r="S4" s="46" t="str">
        <f>IFERROR(__xludf.DUMMYFUNCTION("IFERROR(IF(F4&lt;26,join("" - "",FILTER('Нормативные показатели (рабочая'!$O:$O,'Нормативные показатели (рабочая'!$K:$K=$C4,'Нормативные показатели (рабочая'!$L:$L=$H4,'Нормативные показатели (рабочая'!$N:$N=""на S плиты"")),""нет нормы""))"),"0,22 - 0,3")</f>
        <v>0,22 - 0,3</v>
      </c>
      <c r="T4" s="48">
        <f>IFERROR(__xludf.DUMMYFUNCTION("IFERROR(IF(F4&lt;26, ifs(FILTER('Нормативные показатели (рабочая'!O:O,'Нормативные показатели (рабочая'!K:K=C4,'Нормативные показатели (рабочая'!L:L=H4,'Нормативные показатели (рабочая'!N:N=""на S плиты"",'Нормативные показатели (рабочая'!M:M=""min"")&gt;R4,(-1"&amp;") *(FILTER('Нормативные показатели (рабочая'!O:O,'Нормативные показатели (рабочая'!K:K=C4,'Нормативные показатели (рабочая'!L:L=H4,'Нормативные показатели (рабочая'!N:N=""на S плиты"",'Нормативные показатели (рабочая'!M:M=""min"")-R4)/FILTER('Нормативные "&amp;"показатели (рабочая'!O:O,'Нормативные показатели (рабочая'!K:K=C4,'Нормативные показатели (рабочая'!L:L=H4,'Нормативные показатели (рабочая'!N:N=""на S плиты"",'Нормативные показатели (рабочая'!M:M=""min""),AND(R4&gt;=FILTER('Нормативные показатели (рабочая'"&amp;"!O:O,'Нормативные показатели (рабочая'!K:K=C4,'Нормативные показатели (рабочая'!L:L=H4,'Нормативные показатели (рабочая'!N:N=""на S плиты"",'Нормативные показатели (рабочая'!M:M=""min""),R4&lt;=FILTER('Нормативные показатели (рабочая'!O:O,'Нормативные показа"&amp;"тели (рабочая'!K:K=C4,'Нормативные показатели (рабочая'!L:L=H4,'Нормативные показатели (рабочая'!N:N=""на S плиты"",'Нормативные показатели (рабочая'!M:M=""max"")),""нет"",FILTER('Нормативные показатели (рабочая'!O:O,'Нормативные показатели (рабочая'!K:K="&amp;"C4,'Нормативные показатели (рабочая'!L:L=H4,'Нормативные показатели (рабочая'!N:N=""на S плиты"",'Нормативные показатели (рабочая'!M:M=""max"")&lt;R4,(R4-FILTER('Нормативные показатели (рабочая'!O:O,'Нормативные показатели (рабочая'!K:K=C4,'Нормативные показ"&amp;"атели (рабочая'!L:L=H4,'Нормативные показатели (рабочая'!N:N=""на S плиты"",'Нормативные показатели (рабочая'!M:M=""max""))/FILTER('Нормативные показатели (рабочая'!O:O,'Нормативные показатели (рабочая'!K:K=C4,'Нормативные показатели (рабочая'!L:L=H4,'Нор"&amp;"мативные показатели (рабочая'!N:N=""на S плиты"",'Нормативные показатели (рабочая'!M:M=""max"")),""нет нормы""),""нет нормы"")"),0.005820105820105911)</f>
        <v>0.00582010582</v>
      </c>
      <c r="U4" s="20" t="s">
        <v>29</v>
      </c>
      <c r="V4" s="18" t="s">
        <v>153</v>
      </c>
      <c r="W4" s="25"/>
    </row>
    <row r="5">
      <c r="A5" s="16" t="s">
        <v>23</v>
      </c>
      <c r="B5" s="16" t="s">
        <v>46</v>
      </c>
      <c r="C5" s="16" t="s">
        <v>25</v>
      </c>
      <c r="D5" s="18" t="s">
        <v>51</v>
      </c>
      <c r="E5" s="44" t="s">
        <v>29</v>
      </c>
      <c r="F5" s="18">
        <v>25.0</v>
      </c>
      <c r="G5" s="19" t="s">
        <v>154</v>
      </c>
      <c r="H5" s="20" t="s">
        <v>152</v>
      </c>
      <c r="I5" s="20" t="s">
        <v>27</v>
      </c>
      <c r="J5" s="21">
        <v>45100.0</v>
      </c>
      <c r="K5" s="18">
        <v>30.0</v>
      </c>
      <c r="L5" s="18">
        <v>196.0</v>
      </c>
      <c r="M5" s="18">
        <v>437.02</v>
      </c>
      <c r="N5" s="18">
        <v>610.85</v>
      </c>
      <c r="O5" s="45">
        <f t="shared" si="1"/>
        <v>0.4484920599</v>
      </c>
      <c r="P5" s="46" t="str">
        <f>IFERROR(__xludf.DUMMYFUNCTION("IFERROR(IF(F5&lt;26, (join("" - "",FILTER('Нормативные показатели (рабочая'!$O:$O,'Нормативные показатели (рабочая'!$K:$K=$C5,'Нормативные показатели (рабочая'!$L:$L=$H5,'Нормативные показатели (рабочая'!$N:$N=""на ОРП""))),""нет нормы""))"),"0,35 - 0,45")</f>
        <v>0,35 - 0,45</v>
      </c>
      <c r="Q5" s="47" t="str">
        <f>IFERROR(__xludf.DUMMYFUNCTION("IFS(F5&gt;26,""нет нормы"",C5="""","""",C5&lt;&gt;""МКД"",""нет нормы"",H5&lt;&gt;""Типовой"",""нет нормы"", AND(F5&lt;26,C5=""МКД""),ifs(FILTER('Нормативные показатели (рабочая'!O:O,'Нормативные показатели (рабочая'!K:K=C5,'Нормативные показатели (рабочая'!L:L=H5,'Нормати"&amp;"вные показатели (рабочая'!N:N=""на ОРП"",'Нормативные показатели (рабочая'!M:M=""min"")&gt;O5,(-1) *(FILTER('Нормативные показатели (рабочая'!O:O,'Нормативные показатели (рабочая'!K:K=C5,'Нормативные показатели (рабочая'!L:L=H5,'Нормативные показатели (рабоч"&amp;"ая'!N:N=""на ОРП"",'Нормативные показатели (рабочая'!M:M=""min"")-O5)/FILTER('Нормативные показатели (рабочая'!O:O,'Нормативные показатели (рабочая'!K:K=C5,'Нормативные показатели (рабочая'!L:L=H5,'Нормативные показатели (рабочая'!N:N=""на ОРП"",'Норматив"&amp;"ные показатели (рабочая'!M:M=""min""),AND(O5&gt;=FILTER('Нормативные показатели (рабочая'!O:O,'Нормативные показатели (рабочая'!K:K=C5,'Нормативные показатели (рабочая'!L:L=H5,'Нормативные показатели (рабочая'!N:N=""на ОРП"",'Нормативные показатели (рабочая'"&amp;"!M:M=""min""),O5&lt;=FILTER('Нормативные показатели (рабочая'!O:O,'Нормативные показатели (рабочая'!K:K=C5,'Нормативные показатели (рабочая'!L:L=H5,'Нормативные показатели (рабочая'!N:N=""на ОРП"",'Нормативные показатели (рабочая'!M:M=""max"")),""нет"",FILTE"&amp;"R('Нормативные показатели (рабочая'!O:O,'Нормативные показатели (рабочая'!K:K=C5,'Нормативные показатели (рабочая'!L:L=H5,'Нормативные показатели (рабочая'!N:N=""на ОРП"",'Нормативные показатели (рабочая'!M:M=""max"")&lt;O5,(O5-FILTER('Нормативные показатели"&amp;" (рабочая'!O:O,'Нормативные показатели (рабочая'!K:K=C5,'Нормативные показатели (рабочая'!L:L=H5,'Нормативные показатели (рабочая'!N:N=""на ОРП"",'Нормативные показатели (рабочая'!M:M=""max""))/FILTER('Нормативные показатели (рабочая'!O:O,'Нормативные пок"&amp;"азатели (рабочая'!K:K=C5,'Нормативные показатели (рабочая'!L:L=H5,'Нормативные показатели (рабочая'!N:N=""на ОРП"",'Нормативные показатели (рабочая'!M:M=""max"")))"),"нет")</f>
        <v>нет</v>
      </c>
      <c r="R5" s="45">
        <f t="shared" si="2"/>
        <v>0.3208643693</v>
      </c>
      <c r="S5" s="46" t="str">
        <f>IFERROR(__xludf.DUMMYFUNCTION("IFERROR(IF(F5&lt;26,join("" - "",FILTER('Нормативные показатели (рабочая'!$O:$O,'Нормативные показатели (рабочая'!$K:$K=$C5,'Нормативные показатели (рабочая'!$L:$L=$H5,'Нормативные показатели (рабочая'!$N:$N=""на S плиты"")),""нет нормы""))"),"0,22 - 0,3")</f>
        <v>0,22 - 0,3</v>
      </c>
      <c r="T5" s="48">
        <f>IFERROR(__xludf.DUMMYFUNCTION("IFERROR(IF(F5&lt;26, ifs(FILTER('Нормативные показатели (рабочая'!O:O,'Нормативные показатели (рабочая'!K:K=C5,'Нормативные показатели (рабочая'!L:L=H5,'Нормативные показатели (рабочая'!N:N=""на S плиты"",'Нормативные показатели (рабочая'!M:M=""min"")&gt;R5,(-1"&amp;") *(FILTER('Нормативные показатели (рабочая'!O:O,'Нормативные показатели (рабочая'!K:K=C5,'Нормативные показатели (рабочая'!L:L=H5,'Нормативные показатели (рабочая'!N:N=""на S плиты"",'Нормативные показатели (рабочая'!M:M=""min"")-R5)/FILTER('Нормативные "&amp;"показатели (рабочая'!O:O,'Нормативные показатели (рабочая'!K:K=C5,'Нормативные показатели (рабочая'!L:L=H5,'Нормативные показатели (рабочая'!N:N=""на S плиты"",'Нормативные показатели (рабочая'!M:M=""min""),AND(R5&gt;=FILTER('Нормативные показатели (рабочая'"&amp;"!O:O,'Нормативные показатели (рабочая'!K:K=C5,'Нормативные показатели (рабочая'!L:L=H5,'Нормативные показатели (рабочая'!N:N=""на S плиты"",'Нормативные показатели (рабочая'!M:M=""min""),R5&lt;=FILTER('Нормативные показатели (рабочая'!O:O,'Нормативные показа"&amp;"тели (рабочая'!K:K=C5,'Нормативные показатели (рабочая'!L:L=H5,'Нормативные показатели (рабочая'!N:N=""на S плиты"",'Нормативные показатели (рабочая'!M:M=""max"")),""нет"",FILTER('Нормативные показатели (рабочая'!O:O,'Нормативные показатели (рабочая'!K:K="&amp;"C5,'Нормативные показатели (рабочая'!L:L=H5,'Нормативные показатели (рабочая'!N:N=""на S плиты"",'Нормативные показатели (рабочая'!M:M=""max"")&lt;R5,(R5-FILTER('Нормативные показатели (рабочая'!O:O,'Нормативные показатели (рабочая'!K:K=C5,'Нормативные показ"&amp;"атели (рабочая'!L:L=H5,'Нормативные показатели (рабочая'!N:N=""на S плиты"",'Нормативные показатели (рабочая'!M:M=""max""))/FILTER('Нормативные показатели (рабочая'!O:O,'Нормативные показатели (рабочая'!K:K=C5,'Нормативные показатели (рабочая'!L:L=H5,'Нор"&amp;"мативные показатели (рабочая'!N:N=""на S плиты"",'Нормативные показатели (рабочая'!M:M=""max"")),""нет нормы""),""нет нормы"")"),0.06954789773812439)</f>
        <v>0.06954789774</v>
      </c>
      <c r="U5" s="20" t="s">
        <v>29</v>
      </c>
      <c r="V5" s="18" t="s">
        <v>53</v>
      </c>
      <c r="W5" s="25"/>
    </row>
    <row r="6">
      <c r="A6" s="16" t="s">
        <v>23</v>
      </c>
      <c r="B6" s="16" t="s">
        <v>46</v>
      </c>
      <c r="C6" s="16" t="s">
        <v>25</v>
      </c>
      <c r="D6" s="18" t="s">
        <v>52</v>
      </c>
      <c r="E6" s="44" t="s">
        <v>29</v>
      </c>
      <c r="F6" s="18">
        <v>12.0</v>
      </c>
      <c r="G6" s="19" t="s">
        <v>154</v>
      </c>
      <c r="H6" s="20" t="s">
        <v>152</v>
      </c>
      <c r="I6" s="20" t="s">
        <v>27</v>
      </c>
      <c r="J6" s="21">
        <v>45103.0</v>
      </c>
      <c r="K6" s="16">
        <v>30.0</v>
      </c>
      <c r="L6" s="16">
        <v>137.5</v>
      </c>
      <c r="M6" s="16">
        <v>318.84</v>
      </c>
      <c r="N6" s="16">
        <v>453.2</v>
      </c>
      <c r="O6" s="45">
        <f t="shared" si="1"/>
        <v>0.4312507841</v>
      </c>
      <c r="P6" s="46" t="str">
        <f>IFERROR(__xludf.DUMMYFUNCTION("IFERROR(IF(F6&lt;26, (join("" - "",FILTER('Нормативные показатели (рабочая'!$O:$O,'Нормативные показатели (рабочая'!$K:$K=$C6,'Нормативные показатели (рабочая'!$L:$L=$H6,'Нормативные показатели (рабочая'!$N:$N=""на ОРП""))),""нет нормы""))"),"0,35 - 0,45")</f>
        <v>0,35 - 0,45</v>
      </c>
      <c r="Q6" s="47" t="str">
        <f>IFERROR(__xludf.DUMMYFUNCTION("IFS(F6&gt;26,""нет нормы"",C6="""","""",C6&lt;&gt;""МКД"",""нет нормы"",H6&lt;&gt;""Типовой"",""нет нормы"", AND(F6&lt;26,C6=""МКД""),ifs(FILTER('Нормативные показатели (рабочая'!O:O,'Нормативные показатели (рабочая'!K:K=C6,'Нормативные показатели (рабочая'!L:L=H6,'Нормати"&amp;"вные показатели (рабочая'!N:N=""на ОРП"",'Нормативные показатели (рабочая'!M:M=""min"")&gt;O6,(-1) *(FILTER('Нормативные показатели (рабочая'!O:O,'Нормативные показатели (рабочая'!K:K=C6,'Нормативные показатели (рабочая'!L:L=H6,'Нормативные показатели (рабоч"&amp;"ая'!N:N=""на ОРП"",'Нормативные показатели (рабочая'!M:M=""min"")-O6)/FILTER('Нормативные показатели (рабочая'!O:O,'Нормативные показатели (рабочая'!K:K=C6,'Нормативные показатели (рабочая'!L:L=H6,'Нормативные показатели (рабочая'!N:N=""на ОРП"",'Норматив"&amp;"ные показатели (рабочая'!M:M=""min""),AND(O6&gt;=FILTER('Нормативные показатели (рабочая'!O:O,'Нормативные показатели (рабочая'!K:K=C6,'Нормативные показатели (рабочая'!L:L=H6,'Нормативные показатели (рабочая'!N:N=""на ОРП"",'Нормативные показатели (рабочая'"&amp;"!M:M=""min""),O6&lt;=FILTER('Нормативные показатели (рабочая'!O:O,'Нормативные показатели (рабочая'!K:K=C6,'Нормативные показатели (рабочая'!L:L=H6,'Нормативные показатели (рабочая'!N:N=""на ОРП"",'Нормативные показатели (рабочая'!M:M=""max"")),""нет"",FILTE"&amp;"R('Нормативные показатели (рабочая'!O:O,'Нормативные показатели (рабочая'!K:K=C6,'Нормативные показатели (рабочая'!L:L=H6,'Нормативные показатели (рабочая'!N:N=""на ОРП"",'Нормативные показатели (рабочая'!M:M=""max"")&lt;O6,(O6-FILTER('Нормативные показатели"&amp;" (рабочая'!O:O,'Нормативные показатели (рабочая'!K:K=C6,'Нормативные показатели (рабочая'!L:L=H6,'Нормативные показатели (рабочая'!N:N=""на ОРП"",'Нормативные показатели (рабочая'!M:M=""max""))/FILTER('Нормативные показатели (рабочая'!O:O,'Нормативные пок"&amp;"азатели (рабочая'!K:K=C6,'Нормативные показатели (рабочая'!L:L=H6,'Нормативные показатели (рабочая'!N:N=""на ОРП"",'Нормативные показатели (рабочая'!M:M=""max"")))"),"нет")</f>
        <v>нет</v>
      </c>
      <c r="R6" s="45">
        <f t="shared" si="2"/>
        <v>0.3033980583</v>
      </c>
      <c r="S6" s="46" t="str">
        <f>IFERROR(__xludf.DUMMYFUNCTION("IFERROR(IF(F6&lt;26,join("" - "",FILTER('Нормативные показатели (рабочая'!$O:$O,'Нормативные показатели (рабочая'!$K:$K=$C6,'Нормативные показатели (рабочая'!$L:$L=$H6,'Нормативные показатели (рабочая'!$N:$N=""на S плиты"")),""нет нормы""))"),"0,22 - 0,3")</f>
        <v>0,22 - 0,3</v>
      </c>
      <c r="T6" s="48">
        <f>IFERROR(__xludf.DUMMYFUNCTION("IFERROR(IF(F6&lt;26, ifs(FILTER('Нормативные показатели (рабочая'!O:O,'Нормативные показатели (рабочая'!K:K=C6,'Нормативные показатели (рабочая'!L:L=H6,'Нормативные показатели (рабочая'!N:N=""на S плиты"",'Нормативные показатели (рабочая'!M:M=""min"")&gt;R6,(-1"&amp;") *(FILTER('Нормативные показатели (рабочая'!O:O,'Нормативные показатели (рабочая'!K:K=C6,'Нормативные показатели (рабочая'!L:L=H6,'Нормативные показатели (рабочая'!N:N=""на S плиты"",'Нормативные показатели (рабочая'!M:M=""min"")-R6)/FILTER('Нормативные "&amp;"показатели (рабочая'!O:O,'Нормативные показатели (рабочая'!K:K=C6,'Нормативные показатели (рабочая'!L:L=H6,'Нормативные показатели (рабочая'!N:N=""на S плиты"",'Нормативные показатели (рабочая'!M:M=""min""),AND(R6&gt;=FILTER('Нормативные показатели (рабочая'"&amp;"!O:O,'Нормативные показатели (рабочая'!K:K=C6,'Нормативные показатели (рабочая'!L:L=H6,'Нормативные показатели (рабочая'!N:N=""на S плиты"",'Нормативные показатели (рабочая'!M:M=""min""),R6&lt;=FILTER('Нормативные показатели (рабочая'!O:O,'Нормативные показа"&amp;"тели (рабочая'!K:K=C6,'Нормативные показатели (рабочая'!L:L=H6,'Нормативные показатели (рабочая'!N:N=""на S плиты"",'Нормативные показатели (рабочая'!M:M=""max"")),""нет"",FILTER('Нормативные показатели (рабочая'!O:O,'Нормативные показатели (рабочая'!K:K="&amp;"C6,'Нормативные показатели (рабочая'!L:L=H6,'Нормативные показатели (рабочая'!N:N=""на S плиты"",'Нормативные показатели (рабочая'!M:M=""max"")&lt;R6,(R6-FILTER('Нормативные показатели (рабочая'!O:O,'Нормативные показатели (рабочая'!K:K=C6,'Нормативные показ"&amp;"атели (рабочая'!L:L=H6,'Нормативные показатели (рабочая'!N:N=""на S плиты"",'Нормативные показатели (рабочая'!M:M=""max""))/FILTER('Нормативные показатели (рабочая'!O:O,'Нормативные показатели (рабочая'!K:K=C6,'Нормативные показатели (рабочая'!L:L=H6,'Нор"&amp;"мативные показатели (рабочая'!N:N=""на S плиты"",'Нормативные показатели (рабочая'!M:M=""max"")),""нет нормы""),""нет нормы"")"),0.011326860841424091)</f>
        <v>0.01132686084</v>
      </c>
      <c r="U6" s="20" t="s">
        <v>29</v>
      </c>
      <c r="V6" s="18" t="s">
        <v>153</v>
      </c>
      <c r="W6" s="25"/>
    </row>
    <row r="7">
      <c r="A7" s="16" t="s">
        <v>23</v>
      </c>
      <c r="B7" s="16" t="s">
        <v>46</v>
      </c>
      <c r="C7" s="16" t="s">
        <v>25</v>
      </c>
      <c r="D7" s="18" t="s">
        <v>54</v>
      </c>
      <c r="E7" s="44" t="s">
        <v>29</v>
      </c>
      <c r="F7" s="18">
        <v>15.0</v>
      </c>
      <c r="G7" s="19" t="s">
        <v>154</v>
      </c>
      <c r="H7" s="20" t="s">
        <v>152</v>
      </c>
      <c r="I7" s="20" t="s">
        <v>27</v>
      </c>
      <c r="J7" s="21">
        <v>45107.0</v>
      </c>
      <c r="K7" s="16">
        <v>30.0</v>
      </c>
      <c r="L7" s="16">
        <v>158.3</v>
      </c>
      <c r="M7" s="16">
        <v>381.46</v>
      </c>
      <c r="N7" s="16">
        <v>522.8</v>
      </c>
      <c r="O7" s="45">
        <f t="shared" si="1"/>
        <v>0.4149845331</v>
      </c>
      <c r="P7" s="46" t="str">
        <f>IFERROR(__xludf.DUMMYFUNCTION("IFERROR(IF(F7&lt;26, (join("" - "",FILTER('Нормативные показатели (рабочая'!$O:$O,'Нормативные показатели (рабочая'!$K:$K=$C7,'Нормативные показатели (рабочая'!$L:$L=$H7,'Нормативные показатели (рабочая'!$N:$N=""на ОРП""))),""нет нормы""))"),"0,35 - 0,45")</f>
        <v>0,35 - 0,45</v>
      </c>
      <c r="Q7" s="47" t="str">
        <f>IFERROR(__xludf.DUMMYFUNCTION("IFS(F7&gt;26,""нет нормы"",C7="""","""",C7&lt;&gt;""МКД"",""нет нормы"",H7&lt;&gt;""Типовой"",""нет нормы"", AND(F7&lt;26,C7=""МКД""),ifs(FILTER('Нормативные показатели (рабочая'!O:O,'Нормативные показатели (рабочая'!K:K=C7,'Нормативные показатели (рабочая'!L:L=H7,'Нормати"&amp;"вные показатели (рабочая'!N:N=""на ОРП"",'Нормативные показатели (рабочая'!M:M=""min"")&gt;O7,(-1) *(FILTER('Нормативные показатели (рабочая'!O:O,'Нормативные показатели (рабочая'!K:K=C7,'Нормативные показатели (рабочая'!L:L=H7,'Нормативные показатели (рабоч"&amp;"ая'!N:N=""на ОРП"",'Нормативные показатели (рабочая'!M:M=""min"")-O7)/FILTER('Нормативные показатели (рабочая'!O:O,'Нормативные показатели (рабочая'!K:K=C7,'Нормативные показатели (рабочая'!L:L=H7,'Нормативные показатели (рабочая'!N:N=""на ОРП"",'Норматив"&amp;"ные показатели (рабочая'!M:M=""min""),AND(O7&gt;=FILTER('Нормативные показатели (рабочая'!O:O,'Нормативные показатели (рабочая'!K:K=C7,'Нормативные показатели (рабочая'!L:L=H7,'Нормативные показатели (рабочая'!N:N=""на ОРП"",'Нормативные показатели (рабочая'"&amp;"!M:M=""min""),O7&lt;=FILTER('Нормативные показатели (рабочая'!O:O,'Нормативные показатели (рабочая'!K:K=C7,'Нормативные показатели (рабочая'!L:L=H7,'Нормативные показатели (рабочая'!N:N=""на ОРП"",'Нормативные показатели (рабочая'!M:M=""max"")),""нет"",FILTE"&amp;"R('Нормативные показатели (рабочая'!O:O,'Нормативные показатели (рабочая'!K:K=C7,'Нормативные показатели (рабочая'!L:L=H7,'Нормативные показатели (рабочая'!N:N=""на ОРП"",'Нормативные показатели (рабочая'!M:M=""max"")&lt;O7,(O7-FILTER('Нормативные показатели"&amp;" (рабочая'!O:O,'Нормативные показатели (рабочая'!K:K=C7,'Нормативные показатели (рабочая'!L:L=H7,'Нормативные показатели (рабочая'!N:N=""на ОРП"",'Нормативные показатели (рабочая'!M:M=""max""))/FILTER('Нормативные показатели (рабочая'!O:O,'Нормативные пок"&amp;"азатели (рабочая'!K:K=C7,'Нормативные показатели (рабочая'!L:L=H7,'Нормативные показатели (рабочая'!N:N=""на ОРП"",'Нормативные показатели (рабочая'!M:M=""max"")))"),"нет")</f>
        <v>нет</v>
      </c>
      <c r="R7" s="45">
        <f t="shared" si="2"/>
        <v>0.3027926549</v>
      </c>
      <c r="S7" s="46" t="str">
        <f>IFERROR(__xludf.DUMMYFUNCTION("IFERROR(IF(F7&lt;26,join("" - "",FILTER('Нормативные показатели (рабочая'!$O:$O,'Нормативные показатели (рабочая'!$K:$K=$C7,'Нормативные показатели (рабочая'!$L:$L=$H7,'Нормативные показатели (рабочая'!$N:$N=""на S плиты"")),""нет нормы""))"),"0,22 - 0,3")</f>
        <v>0,22 - 0,3</v>
      </c>
      <c r="T7" s="48">
        <f>IFERROR(__xludf.DUMMYFUNCTION("IFERROR(IF(F7&lt;26, ifs(FILTER('Нормативные показатели (рабочая'!O:O,'Нормативные показатели (рабочая'!K:K=C7,'Нормативные показатели (рабочая'!L:L=H7,'Нормативные показатели (рабочая'!N:N=""на S плиты"",'Нормативные показатели (рабочая'!M:M=""min"")&gt;R7,(-1"&amp;") *(FILTER('Нормативные показатели (рабочая'!O:O,'Нормативные показатели (рабочая'!K:K=C7,'Нормативные показатели (рабочая'!L:L=H7,'Нормативные показатели (рабочая'!N:N=""на S плиты"",'Нормативные показатели (рабочая'!M:M=""min"")-R7)/FILTER('Нормативные "&amp;"показатели (рабочая'!O:O,'Нормативные показатели (рабочая'!K:K=C7,'Нормативные показатели (рабочая'!L:L=H7,'Нормативные показатели (рабочая'!N:N=""на S плиты"",'Нормативные показатели (рабочая'!M:M=""min""),AND(R7&gt;=FILTER('Нормативные показатели (рабочая'"&amp;"!O:O,'Нормативные показатели (рабочая'!K:K=C7,'Нормативные показатели (рабочая'!L:L=H7,'Нормативные показатели (рабочая'!N:N=""на S плиты"",'Нормативные показатели (рабочая'!M:M=""min""),R7&lt;=FILTER('Нормативные показатели (рабочая'!O:O,'Нормативные показа"&amp;"тели (рабочая'!K:K=C7,'Нормативные показатели (рабочая'!L:L=H7,'Нормативные показатели (рабочая'!N:N=""на S плиты"",'Нормативные показатели (рабочая'!M:M=""max"")),""нет"",FILTER('Нормативные показатели (рабочая'!O:O,'Нормативные показатели (рабочая'!K:K="&amp;"C7,'Нормативные показатели (рабочая'!L:L=H7,'Нормативные показатели (рабочая'!N:N=""на S плиты"",'Нормативные показатели (рабочая'!M:M=""max"")&lt;R7,(R7-FILTER('Нормативные показатели (рабочая'!O:O,'Нормативные показатели (рабочая'!K:K=C7,'Нормативные показ"&amp;"атели (рабочая'!L:L=H7,'Нормативные показатели (рабочая'!N:N=""на S плиты"",'Нормативные показатели (рабочая'!M:M=""max""))/FILTER('Нормативные показатели (рабочая'!O:O,'Нормативные показатели (рабочая'!K:K=C7,'Нормативные показатели (рабочая'!L:L=H7,'Нор"&amp;"мативные показатели (рабочая'!N:N=""на S плиты"",'Нормативные показатели (рабочая'!M:M=""max"")),""нет нормы""),""нет нормы"")"),0.009308849783218703)</f>
        <v>0.009308849783</v>
      </c>
      <c r="U7" s="20" t="s">
        <v>29</v>
      </c>
      <c r="V7" s="18" t="s">
        <v>153</v>
      </c>
      <c r="W7" s="25"/>
    </row>
    <row r="8">
      <c r="A8" s="16" t="s">
        <v>155</v>
      </c>
      <c r="B8" s="16" t="s">
        <v>156</v>
      </c>
      <c r="C8" s="16" t="s">
        <v>25</v>
      </c>
      <c r="D8" s="18" t="s">
        <v>47</v>
      </c>
      <c r="E8" s="44" t="s">
        <v>29</v>
      </c>
      <c r="F8" s="18">
        <v>13.0</v>
      </c>
      <c r="G8" s="19" t="s">
        <v>157</v>
      </c>
      <c r="H8" s="20" t="s">
        <v>152</v>
      </c>
      <c r="I8" s="20" t="s">
        <v>27</v>
      </c>
      <c r="J8" s="21">
        <v>45121.0</v>
      </c>
      <c r="K8" s="18">
        <v>25.0</v>
      </c>
      <c r="L8" s="18">
        <v>226.7</v>
      </c>
      <c r="M8" s="18">
        <v>546.75</v>
      </c>
      <c r="N8" s="18">
        <v>815.0</v>
      </c>
      <c r="O8" s="45">
        <f t="shared" si="1"/>
        <v>0.4146319159</v>
      </c>
      <c r="P8" s="46" t="str">
        <f>IFERROR(__xludf.DUMMYFUNCTION("IFERROR(IF(F8&lt;26, (join("" - "",FILTER('Нормативные показатели (рабочая'!$O:$O,'Нормативные показатели (рабочая'!$K:$K=$C8,'Нормативные показатели (рабочая'!$L:$L=$H8,'Нормативные показатели (рабочая'!$N:$N=""на ОРП""))),""нет нормы""))"),"0,35 - 0,45")</f>
        <v>0,35 - 0,45</v>
      </c>
      <c r="Q8" s="47" t="str">
        <f>IFERROR(__xludf.DUMMYFUNCTION("IFS(F8&gt;26,""нет нормы"",C8="""","""",C8&lt;&gt;""МКД"",""нет нормы"",H8&lt;&gt;""Типовой"",""нет нормы"", AND(F8&lt;26,C8=""МКД""),ifs(FILTER('Нормативные показатели (рабочая'!O:O,'Нормативные показатели (рабочая'!K:K=C8,'Нормативные показатели (рабочая'!L:L=H8,'Нормати"&amp;"вные показатели (рабочая'!N:N=""на ОРП"",'Нормативные показатели (рабочая'!M:M=""min"")&gt;O8,(-1) *(FILTER('Нормативные показатели (рабочая'!O:O,'Нормативные показатели (рабочая'!K:K=C8,'Нормативные показатели (рабочая'!L:L=H8,'Нормативные показатели (рабоч"&amp;"ая'!N:N=""на ОРП"",'Нормативные показатели (рабочая'!M:M=""min"")-O8)/FILTER('Нормативные показатели (рабочая'!O:O,'Нормативные показатели (рабочая'!K:K=C8,'Нормативные показатели (рабочая'!L:L=H8,'Нормативные показатели (рабочая'!N:N=""на ОРП"",'Норматив"&amp;"ные показатели (рабочая'!M:M=""min""),AND(O8&gt;=FILTER('Нормативные показатели (рабочая'!O:O,'Нормативные показатели (рабочая'!K:K=C8,'Нормативные показатели (рабочая'!L:L=H8,'Нормативные показатели (рабочая'!N:N=""на ОРП"",'Нормативные показатели (рабочая'"&amp;"!M:M=""min""),O8&lt;=FILTER('Нормативные показатели (рабочая'!O:O,'Нормативные показатели (рабочая'!K:K=C8,'Нормативные показатели (рабочая'!L:L=H8,'Нормативные показатели (рабочая'!N:N=""на ОРП"",'Нормативные показатели (рабочая'!M:M=""max"")),""нет"",FILTE"&amp;"R('Нормативные показатели (рабочая'!O:O,'Нормативные показатели (рабочая'!K:K=C8,'Нормативные показатели (рабочая'!L:L=H8,'Нормативные показатели (рабочая'!N:N=""на ОРП"",'Нормативные показатели (рабочая'!M:M=""max"")&lt;O8,(O8-FILTER('Нормативные показатели"&amp;" (рабочая'!O:O,'Нормативные показатели (рабочая'!K:K=C8,'Нормативные показатели (рабочая'!L:L=H8,'Нормативные показатели (рабочая'!N:N=""на ОРП"",'Нормативные показатели (рабочая'!M:M=""max""))/FILTER('Нормативные показатели (рабочая'!O:O,'Нормативные пок"&amp;"азатели (рабочая'!K:K=C8,'Нормативные показатели (рабочая'!L:L=H8,'Нормативные показатели (рабочая'!N:N=""на ОРП"",'Нормативные показатели (рабочая'!M:M=""max"")))"),"нет")</f>
        <v>нет</v>
      </c>
      <c r="R8" s="45">
        <f t="shared" si="2"/>
        <v>0.2781595092</v>
      </c>
      <c r="S8" s="46" t="str">
        <f>IFERROR(__xludf.DUMMYFUNCTION("IFERROR(IF(F8&lt;26,join("" - "",FILTER('Нормативные показатели (рабочая'!$O:$O,'Нормативные показатели (рабочая'!$K:$K=$C8,'Нормативные показатели (рабочая'!$L:$L=$H8,'Нормативные показатели (рабочая'!$N:$N=""на S плиты"")),""нет нормы""))"),"0,22 - 0,3")</f>
        <v>0,22 - 0,3</v>
      </c>
      <c r="T8" s="48" t="str">
        <f>IFERROR(__xludf.DUMMYFUNCTION("IFERROR(IF(F8&lt;26, ifs(FILTER('Нормативные показатели (рабочая'!O:O,'Нормативные показатели (рабочая'!K:K=C8,'Нормативные показатели (рабочая'!L:L=H8,'Нормативные показатели (рабочая'!N:N=""на S плиты"",'Нормативные показатели (рабочая'!M:M=""min"")&gt;R8,(-1"&amp;") *(FILTER('Нормативные показатели (рабочая'!O:O,'Нормативные показатели (рабочая'!K:K=C8,'Нормативные показатели (рабочая'!L:L=H8,'Нормативные показатели (рабочая'!N:N=""на S плиты"",'Нормативные показатели (рабочая'!M:M=""min"")-R8)/FILTER('Нормативные "&amp;"показатели (рабочая'!O:O,'Нормативные показатели (рабочая'!K:K=C8,'Нормативные показатели (рабочая'!L:L=H8,'Нормативные показатели (рабочая'!N:N=""на S плиты"",'Нормативные показатели (рабочая'!M:M=""min""),AND(R8&gt;=FILTER('Нормативные показатели (рабочая'"&amp;"!O:O,'Нормативные показатели (рабочая'!K:K=C8,'Нормативные показатели (рабочая'!L:L=H8,'Нормативные показатели (рабочая'!N:N=""на S плиты"",'Нормативные показатели (рабочая'!M:M=""min""),R8&lt;=FILTER('Нормативные показатели (рабочая'!O:O,'Нормативные показа"&amp;"тели (рабочая'!K:K=C8,'Нормативные показатели (рабочая'!L:L=H8,'Нормативные показатели (рабочая'!N:N=""на S плиты"",'Нормативные показатели (рабочая'!M:M=""max"")),""нет"",FILTER('Нормативные показатели (рабочая'!O:O,'Нормативные показатели (рабочая'!K:K="&amp;"C8,'Нормативные показатели (рабочая'!L:L=H8,'Нормативные показатели (рабочая'!N:N=""на S плиты"",'Нормативные показатели (рабочая'!M:M=""max"")&lt;R8,(R8-FILTER('Нормативные показатели (рабочая'!O:O,'Нормативные показатели (рабочая'!K:K=C8,'Нормативные показ"&amp;"атели (рабочая'!L:L=H8,'Нормативные показатели (рабочая'!N:N=""на S плиты"",'Нормативные показатели (рабочая'!M:M=""max""))/FILTER('Нормативные показатели (рабочая'!O:O,'Нормативные показатели (рабочая'!K:K=C8,'Нормативные показатели (рабочая'!L:L=H8,'Нор"&amp;"мативные показатели (рабочая'!N:N=""на S плиты"",'Нормативные показатели (рабочая'!M:M=""max"")),""нет нормы""),"" "")"),"нет")</f>
        <v>нет</v>
      </c>
      <c r="U8" s="20" t="s">
        <v>29</v>
      </c>
      <c r="V8" s="18" t="s">
        <v>153</v>
      </c>
      <c r="W8" s="25"/>
    </row>
    <row r="9">
      <c r="A9" s="16" t="s">
        <v>155</v>
      </c>
      <c r="B9" s="16" t="s">
        <v>156</v>
      </c>
      <c r="C9" s="16" t="s">
        <v>25</v>
      </c>
      <c r="D9" s="18" t="s">
        <v>43</v>
      </c>
      <c r="E9" s="44" t="s">
        <v>29</v>
      </c>
      <c r="F9" s="18">
        <v>13.0</v>
      </c>
      <c r="G9" s="19" t="s">
        <v>157</v>
      </c>
      <c r="H9" s="20" t="s">
        <v>152</v>
      </c>
      <c r="I9" s="20" t="s">
        <v>27</v>
      </c>
      <c r="J9" s="21">
        <v>45121.0</v>
      </c>
      <c r="K9" s="18">
        <v>25.0</v>
      </c>
      <c r="L9" s="18">
        <v>180.1</v>
      </c>
      <c r="M9" s="18">
        <v>424.89</v>
      </c>
      <c r="N9" s="18">
        <v>621.9</v>
      </c>
      <c r="O9" s="45">
        <f t="shared" si="1"/>
        <v>0.4238744146</v>
      </c>
      <c r="P9" s="46" t="str">
        <f>IFERROR(__xludf.DUMMYFUNCTION("IFERROR(IF(F9&lt;26, (join("" - "",FILTER('Нормативные показатели (рабочая'!$O:$O,'Нормативные показатели (рабочая'!$K:$K=$C9,'Нормативные показатели (рабочая'!$L:$L=$H9,'Нормативные показатели (рабочая'!$N:$N=""на ОРП""))),""нет нормы""))"),"0,35 - 0,45")</f>
        <v>0,35 - 0,45</v>
      </c>
      <c r="Q9" s="47" t="str">
        <f>IFERROR(__xludf.DUMMYFUNCTION("IFS(F9&gt;26,""нет нормы"",C9="""","""",C9&lt;&gt;""МКД"",""нет нормы"",H9&lt;&gt;""Типовой"",""нет нормы"", AND(F9&lt;26,C9=""МКД""),ifs(FILTER('Нормативные показатели (рабочая'!O:O,'Нормативные показатели (рабочая'!K:K=C9,'Нормативные показатели (рабочая'!L:L=H9,'Нормати"&amp;"вные показатели (рабочая'!N:N=""на ОРП"",'Нормативные показатели (рабочая'!M:M=""min"")&gt;O9,(-1) *(FILTER('Нормативные показатели (рабочая'!O:O,'Нормативные показатели (рабочая'!K:K=C9,'Нормативные показатели (рабочая'!L:L=H9,'Нормативные показатели (рабоч"&amp;"ая'!N:N=""на ОРП"",'Нормативные показатели (рабочая'!M:M=""min"")-O9)/FILTER('Нормативные показатели (рабочая'!O:O,'Нормативные показатели (рабочая'!K:K=C9,'Нормативные показатели (рабочая'!L:L=H9,'Нормативные показатели (рабочая'!N:N=""на ОРП"",'Норматив"&amp;"ные показатели (рабочая'!M:M=""min""),AND(O9&gt;=FILTER('Нормативные показатели (рабочая'!O:O,'Нормативные показатели (рабочая'!K:K=C9,'Нормативные показатели (рабочая'!L:L=H9,'Нормативные показатели (рабочая'!N:N=""на ОРП"",'Нормативные показатели (рабочая'"&amp;"!M:M=""min""),O9&lt;=FILTER('Нормативные показатели (рабочая'!O:O,'Нормативные показатели (рабочая'!K:K=C9,'Нормативные показатели (рабочая'!L:L=H9,'Нормативные показатели (рабочая'!N:N=""на ОРП"",'Нормативные показатели (рабочая'!M:M=""max"")),""нет"",FILTE"&amp;"R('Нормативные показатели (рабочая'!O:O,'Нормативные показатели (рабочая'!K:K=C9,'Нормативные показатели (рабочая'!L:L=H9,'Нормативные показатели (рабочая'!N:N=""на ОРП"",'Нормативные показатели (рабочая'!M:M=""max"")&lt;O9,(O9-FILTER('Нормативные показатели"&amp;" (рабочая'!O:O,'Нормативные показатели (рабочая'!K:K=C9,'Нормативные показатели (рабочая'!L:L=H9,'Нормативные показатели (рабочая'!N:N=""на ОРП"",'Нормативные показатели (рабочая'!M:M=""max""))/FILTER('Нормативные показатели (рабочая'!O:O,'Нормативные пок"&amp;"азатели (рабочая'!K:K=C9,'Нормативные показатели (рабочая'!L:L=H9,'Нормативные показатели (рабочая'!N:N=""на ОРП"",'Нормативные показатели (рабочая'!M:M=""max"")))"),"нет")</f>
        <v>нет</v>
      </c>
      <c r="R9" s="45">
        <f t="shared" si="2"/>
        <v>0.2895963981</v>
      </c>
      <c r="S9" s="46" t="str">
        <f>IFERROR(__xludf.DUMMYFUNCTION("IFERROR(IF(F9&lt;26,join("" - "",FILTER('Нормативные показатели (рабочая'!$O:$O,'Нормативные показатели (рабочая'!$K:$K=$C9,'Нормативные показатели (рабочая'!$L:$L=$H9,'Нормативные показатели (рабочая'!$N:$N=""на S плиты"")),""нет нормы""))"),"0,22 - 0,3")</f>
        <v>0,22 - 0,3</v>
      </c>
      <c r="T9" s="48" t="str">
        <f>IFERROR(__xludf.DUMMYFUNCTION("IFERROR(IF(F9&lt;26, ifs(FILTER('Нормативные показатели (рабочая'!O:O,'Нормативные показатели (рабочая'!K:K=C9,'Нормативные показатели (рабочая'!L:L=H9,'Нормативные показатели (рабочая'!N:N=""на S плиты"",'Нормативные показатели (рабочая'!M:M=""min"")&gt;R9,(-1"&amp;") *(FILTER('Нормативные показатели (рабочая'!O:O,'Нормативные показатели (рабочая'!K:K=C9,'Нормативные показатели (рабочая'!L:L=H9,'Нормативные показатели (рабочая'!N:N=""на S плиты"",'Нормативные показатели (рабочая'!M:M=""min"")-R9)/FILTER('Нормативные "&amp;"показатели (рабочая'!O:O,'Нормативные показатели (рабочая'!K:K=C9,'Нормативные показатели (рабочая'!L:L=H9,'Нормативные показатели (рабочая'!N:N=""на S плиты"",'Нормативные показатели (рабочая'!M:M=""min""),AND(R9&gt;=FILTER('Нормативные показатели (рабочая'"&amp;"!O:O,'Нормативные показатели (рабочая'!K:K=C9,'Нормативные показатели (рабочая'!L:L=H9,'Нормативные показатели (рабочая'!N:N=""на S плиты"",'Нормативные показатели (рабочая'!M:M=""min""),R9&lt;=FILTER('Нормативные показатели (рабочая'!O:O,'Нормативные показа"&amp;"тели (рабочая'!K:K=C9,'Нормативные показатели (рабочая'!L:L=H9,'Нормативные показатели (рабочая'!N:N=""на S плиты"",'Нормативные показатели (рабочая'!M:M=""max"")),""нет"",FILTER('Нормативные показатели (рабочая'!O:O,'Нормативные показатели (рабочая'!K:K="&amp;"C9,'Нормативные показатели (рабочая'!L:L=H9,'Нормативные показатели (рабочая'!N:N=""на S плиты"",'Нормативные показатели (рабочая'!M:M=""max"")&lt;R9,(R9-FILTER('Нормативные показатели (рабочая'!O:O,'Нормативные показатели (рабочая'!K:K=C9,'Нормативные показ"&amp;"атели (рабочая'!L:L=H9,'Нормативные показатели (рабочая'!N:N=""на S плиты"",'Нормативные показатели (рабочая'!M:M=""max""))/FILTER('Нормативные показатели (рабочая'!O:O,'Нормативные показатели (рабочая'!K:K=C9,'Нормативные показатели (рабочая'!L:L=H9,'Нор"&amp;"мативные показатели (рабочая'!N:N=""на S плиты"",'Нормативные показатели (рабочая'!M:M=""max"")),""нет нормы""),"" "")"),"нет")</f>
        <v>нет</v>
      </c>
      <c r="U9" s="20" t="s">
        <v>29</v>
      </c>
      <c r="V9" s="18" t="s">
        <v>153</v>
      </c>
      <c r="W9" s="25"/>
    </row>
    <row r="10">
      <c r="A10" s="16" t="s">
        <v>155</v>
      </c>
      <c r="B10" s="16" t="s">
        <v>156</v>
      </c>
      <c r="C10" s="16" t="s">
        <v>25</v>
      </c>
      <c r="D10" s="18" t="s">
        <v>158</v>
      </c>
      <c r="E10" s="44" t="s">
        <v>29</v>
      </c>
      <c r="F10" s="18">
        <v>15.0</v>
      </c>
      <c r="G10" s="19" t="s">
        <v>157</v>
      </c>
      <c r="H10" s="20" t="s">
        <v>152</v>
      </c>
      <c r="I10" s="20" t="s">
        <v>27</v>
      </c>
      <c r="J10" s="21">
        <v>45121.0</v>
      </c>
      <c r="K10" s="18">
        <v>25.0</v>
      </c>
      <c r="L10" s="18">
        <v>224.03</v>
      </c>
      <c r="M10" s="18">
        <v>544.37</v>
      </c>
      <c r="N10" s="18">
        <v>811.1</v>
      </c>
      <c r="O10" s="45">
        <f t="shared" si="1"/>
        <v>0.4115399453</v>
      </c>
      <c r="P10" s="46" t="str">
        <f>IFERROR(__xludf.DUMMYFUNCTION("IFERROR(IF(F10&lt;26, (join("" - "",FILTER('Нормативные показатели (рабочая'!$O:$O,'Нормативные показатели (рабочая'!$K:$K=$C10,'Нормативные показатели (рабочая'!$L:$L=$H10,'Нормативные показатели (рабочая'!$N:$N=""на ОРП""))),""нет нормы""))"),"0,35 - 0,45")</f>
        <v>0,35 - 0,45</v>
      </c>
      <c r="Q10" s="47" t="str">
        <f>IFERROR(__xludf.DUMMYFUNCTION("IFS(F10&gt;26,""нет нормы"",C10="""","""",C10&lt;&gt;""МКД"",""нет нормы"",H10&lt;&gt;""Типовой"",""нет нормы"", AND(F10&lt;26,C10=""МКД""),ifs(FILTER('Нормативные показатели (рабочая'!O:O,'Нормативные показатели (рабочая'!K:K=C10,'Нормативные показатели (рабочая'!L:L=H10,"&amp;"'Нормативные показатели (рабочая'!N:N=""на ОРП"",'Нормативные показатели (рабочая'!M:M=""min"")&gt;O10,(-1) *(FILTER('Нормативные показатели (рабочая'!O:O,'Нормативные показатели (рабочая'!K:K=C10,'Нормативные показатели (рабочая'!L:L=H10,'Нормативные показа"&amp;"тели (рабочая'!N:N=""на ОРП"",'Нормативные показатели (рабочая'!M:M=""min"")-O10)/FILTER('Нормативные показатели (рабочая'!O:O,'Нормативные показатели (рабочая'!K:K=C10,'Нормативные показатели (рабочая'!L:L=H10,'Нормативные показатели (рабочая'!N:N=""на О"&amp;"РП"",'Нормативные показатели (рабочая'!M:M=""min""),AND(O10&gt;=FILTER('Нормативные показатели (рабочая'!O:O,'Нормативные показатели (рабочая'!K:K=C10,'Нормативные показатели (рабочая'!L:L=H10,'Нормативные показатели (рабочая'!N:N=""на ОРП"",'Нормативные пок"&amp;"азатели (рабочая'!M:M=""min""),O10&lt;=FILTER('Нормативные показатели (рабочая'!O:O,'Нормативные показатели (рабочая'!K:K=C10,'Нормативные показатели (рабочая'!L:L=H10,'Нормативные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(рабочая'!K:K=C10,'Нормативные показатели (рабочая'!L:L=H10,'Нормативные показатели (рабочая'!N:N=""на ОРП"",'Нормативные показатели (рабочая'!M:M=""max"")&lt;O10,(O10-FILTER"&amp;"('Нормативные показатели (рабочая'!O:O,'Нормативные показатели (рабочая'!K:K=C10,'Нормативные показатели (рабочая'!L:L=H10,'Нормативные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(рабочая'!K:K=C10,'Нормативные показатели (рабочая'!L:L=H10,'Нормативные показатели (рабочая'!N:N=""на ОРП"",'Нормативные показатели (рабочая'!M:M=""max"")))"),"нет")</f>
        <v>нет</v>
      </c>
      <c r="R10" s="45">
        <f t="shared" si="2"/>
        <v>0.2762051535</v>
      </c>
      <c r="S10" s="46" t="str">
        <f>IFERROR(__xludf.DUMMYFUNCTION("IFERROR(IF(F10&lt;26,join("" - "",FILTER('Нормативные показатели (рабочая'!$O:$O,'Нормативные показатели (рабочая'!$K:$K=$C10,'Нормативные показатели (рабочая'!$L:$L=$H10,'Нормативные показатели (рабочая'!$N:$N=""на S плиты"")),""нет нормы""))"),"0,22 - 0,3")</f>
        <v>0,22 - 0,3</v>
      </c>
      <c r="T10" s="48" t="str">
        <f>IFERROR(__xludf.DUMMYFUNCTION("IFERROR(IF(F10&lt;26, ifs(FILTER('Нормативные показатели (рабочая'!O:O,'Нормативные показатели (рабочая'!K:K=C10,'Нормативные показатели (рабочая'!L:L=H10,'Нормативные показатели (рабочая'!N:N=""на S плиты"",'Нормативные показатели (рабочая'!M:M=""min"")&gt;R10"&amp;",(-1) *(FILTER('Нормативные показатели (рабочая'!O:O,'Нормативные показатели (рабочая'!K:K=C10,'Нормативные показатели (рабочая'!L:L=H10,'Нормативные показатели (рабочая'!N:N=""на S плиты"",'Нормативные показатели (рабочая'!M:M=""min"")-R10)/FILTER('Норма"&amp;"тивные показатели (рабочая'!O:O,'Нормативные показатели (рабочая'!K:K=C10,'Нормативные показатели (рабочая'!L:L=H10,'Нормативные показатели (рабочая'!N:N=""на S плиты"",'Нормативные показатели (рабочая'!M:M=""min""),AND(R10&gt;=FILTER('Нормативные показатели"&amp;" (рабочая'!O:O,'Нормативные показатели (рабочая'!K:K=C10,'Нормативные показатели (рабочая'!L:L=H10,'Нормативные показатели (рабочая'!N:N=""на S плиты"",'Нормативные показатели (рабочая'!M:M=""min""),R10&lt;=FILTER('Нормативные показатели (рабочая'!O:O,'Норма"&amp;"тивные показатели (рабочая'!K:K=C10,'Нормативные показатели (рабочая'!L:L=H10,'Нормативные показатели (рабочая'!N:N=""на S плиты"",'Нормативные показатели (рабочая'!M:M=""max"")),""нет"",FILTER('Нормативные показатели (рабочая'!O:O,'Нормативные показатели"&amp;" (рабочая'!K:K=C10,'Нормативные показатели (рабочая'!L:L=H10,'Нормативные показатели (рабочая'!N:N=""на S плиты"",'Нормативные показатели (рабочая'!M:M=""max"")&lt;R10,(R10-FILTER('Нормативные показатели (рабочая'!O:O,'Нормативные показатели (рабочая'!K:K=C1"&amp;"0,'Нормативные показатели (рабочая'!L:L=H10,'Нормативные показатели (рабочая'!N:N=""на S плиты"",'Нормативные показатели (рабочая'!M:M=""max""))/FILTER('Нормативные показатели (рабочая'!O:O,'Нормативные показатели (рабочая'!K:K=C10,'Нормативные показатели"&amp;" (рабочая'!L:L=H10,'Нормативные показатели (рабочая'!N:N=""на S плиты"",'Нормативные показатели (рабочая'!M:M=""max"")),""нет нормы""),"" "")"),"нет")</f>
        <v>нет</v>
      </c>
      <c r="U10" s="20" t="s">
        <v>29</v>
      </c>
      <c r="V10" s="18" t="s">
        <v>153</v>
      </c>
      <c r="W10" s="25"/>
    </row>
    <row r="11">
      <c r="A11" s="16" t="s">
        <v>155</v>
      </c>
      <c r="B11" s="16" t="s">
        <v>156</v>
      </c>
      <c r="C11" s="16" t="s">
        <v>25</v>
      </c>
      <c r="D11" s="18" t="s">
        <v>51</v>
      </c>
      <c r="E11" s="44" t="s">
        <v>29</v>
      </c>
      <c r="F11" s="18">
        <v>12.0</v>
      </c>
      <c r="G11" s="19" t="s">
        <v>157</v>
      </c>
      <c r="H11" s="20" t="s">
        <v>152</v>
      </c>
      <c r="I11" s="20" t="s">
        <v>27</v>
      </c>
      <c r="J11" s="21">
        <v>45121.0</v>
      </c>
      <c r="K11" s="18">
        <v>25.0</v>
      </c>
      <c r="L11" s="18">
        <v>128.6</v>
      </c>
      <c r="M11" s="18">
        <v>282.67</v>
      </c>
      <c r="N11" s="18">
        <v>437.8</v>
      </c>
      <c r="O11" s="45">
        <f t="shared" si="1"/>
        <v>0.4549474652</v>
      </c>
      <c r="P11" s="46" t="str">
        <f>IFERROR(__xludf.DUMMYFUNCTION("IFERROR(IF(F11&lt;26, (join("" - "",FILTER('Нормативные показатели (рабочая'!$O:$O,'Нормативные показатели (рабочая'!$K:$K=$C11,'Нормативные показатели (рабочая'!$L:$L=$H11,'Нормативные показатели (рабочая'!$N:$N=""на ОРП""))),""нет нормы""))"),"0,35 - 0,45")</f>
        <v>0,35 - 0,45</v>
      </c>
      <c r="Q11" s="47">
        <f>IFERROR(__xludf.DUMMYFUNCTION("IFS(F11&gt;26,""нет нормы"",C11="""","""",C11&lt;&gt;""МКД"",""нет нормы"",H11&lt;&gt;""Типовой"",""нет нормы"", AND(F11&lt;26,C11=""МКД""),ifs(FILTER('Нормативные показатели (рабочая'!O:O,'Нормативные показатели (рабочая'!K:K=C11,'Нормативные показатели (рабочая'!L:L=H11,"&amp;"'Нормативные показатели (рабочая'!N:N=""на ОРП"",'Нормативные показатели (рабочая'!M:M=""min"")&gt;O11,(-1) *(FILTER('Нормативные показатели (рабочая'!O:O,'Нормативные показатели (рабочая'!K:K=C11,'Нормативные показатели (рабочая'!L:L=H11,'Нормативные показа"&amp;"тели (рабочая'!N:N=""на ОРП"",'Нормативные показатели (рабочая'!M:M=""min"")-O11)/FILTER('Нормативные показатели (рабочая'!O:O,'Нормативные показатели (рабочая'!K:K=C11,'Нормативные показатели (рабочая'!L:L=H11,'Нормативные показатели (рабочая'!N:N=""на О"&amp;"РП"",'Нормативные показатели (рабочая'!M:M=""min""),AND(O11&gt;=FILTER('Нормативные показатели (рабочая'!O:O,'Нормативные показатели (рабочая'!K:K=C11,'Нормативные показатели (рабочая'!L:L=H11,'Нормативные показатели (рабочая'!N:N=""на ОРП"",'Нормативные пок"&amp;"азатели (рабочая'!M:M=""min""),O11&lt;=FILTER('Нормативные показатели (рабочая'!O:O,'Нормативные показатели (рабочая'!K:K=C11,'Нормативные показатели (рабочая'!L:L=H11,'Нормативные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(рабочая'!K:K=C11,'Нормативные показатели (рабочая'!L:L=H11,'Нормативные показатели (рабочая'!N:N=""на ОРП"",'Нормативные показатели (рабочая'!M:M=""max"")&lt;O11,(O11-FILTER"&amp;"('Нормативные показатели (рабочая'!O:O,'Нормативные показатели (рабочая'!K:K=C11,'Нормативные показатели (рабочая'!L:L=H11,'Нормативные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(рабочая'!K:K=C11,'Нормативные показатели (рабочая'!L:L=H11,'Нормативные показатели (рабочая'!N:N=""на ОРП"",'Нормативные показатели (рабочая'!M:M=""max"")))"),0.01099436720478914)</f>
        <v>0.0109943672</v>
      </c>
      <c r="R11" s="45">
        <f t="shared" si="2"/>
        <v>0.2937414344</v>
      </c>
      <c r="S11" s="46" t="str">
        <f>IFERROR(__xludf.DUMMYFUNCTION("IFERROR(IF(F11&lt;26,join("" - "",FILTER('Нормативные показатели (рабочая'!$O:$O,'Нормативные показатели (рабочая'!$K:$K=$C11,'Нормативные показатели (рабочая'!$L:$L=$H11,'Нормативные показатели (рабочая'!$N:$N=""на S плиты"")),""нет нормы""))"),"0,22 - 0,3")</f>
        <v>0,22 - 0,3</v>
      </c>
      <c r="T11" s="48" t="str">
        <f>IFERROR(__xludf.DUMMYFUNCTION("IFERROR(IF(F11&lt;26, ifs(FILTER('Нормативные показатели (рабочая'!O:O,'Нормативные показатели (рабочая'!K:K=C11,'Нормативные показатели (рабочая'!L:L=H11,'Нормативные показатели (рабочая'!N:N=""на S плиты"",'Нормативные показатели (рабочая'!M:M=""min"")&gt;R11"&amp;",(-1) *(FILTER('Нормативные показатели (рабочая'!O:O,'Нормативные показатели (рабочая'!K:K=C11,'Нормативные показатели (рабочая'!L:L=H11,'Нормативные показатели (рабочая'!N:N=""на S плиты"",'Нормативные показатели (рабочая'!M:M=""min"")-R11)/FILTER('Норма"&amp;"тивные показатели (рабочая'!O:O,'Нормативные показатели (рабочая'!K:K=C11,'Нормативные показатели (рабочая'!L:L=H11,'Нормативные показатели (рабочая'!N:N=""на S плиты"",'Нормативные показатели (рабочая'!M:M=""min""),AND(R11&gt;=FILTER('Нормативные показатели"&amp;" (рабочая'!O:O,'Нормативные показатели (рабочая'!K:K=C11,'Нормативные показатели (рабочая'!L:L=H11,'Нормативные показатели (рабочая'!N:N=""на S плиты"",'Нормативные показатели (рабочая'!M:M=""min""),R11&lt;=FILTER('Нормативные показатели (рабочая'!O:O,'Норма"&amp;"тивные показатели (рабочая'!K:K=C11,'Нормативные показатели (рабочая'!L:L=H11,'Нормативные показатели (рабочая'!N:N=""на S плиты"",'Нормативные показатели (рабочая'!M:M=""max"")),""нет"",FILTER('Нормативные показатели (рабочая'!O:O,'Нормативные показатели"&amp;" (рабочая'!K:K=C11,'Нормативные показатели (рабочая'!L:L=H11,'Нормативные показатели (рабочая'!N:N=""на S плиты"",'Нормативные показатели (рабочая'!M:M=""max"")&lt;R11,(R11-FILTER('Нормативные показатели (рабочая'!O:O,'Нормативные показатели (рабочая'!K:K=C1"&amp;"1,'Нормативные показатели (рабочая'!L:L=H11,'Нормативные показатели (рабочая'!N:N=""на S плиты"",'Нормативные показатели (рабочая'!M:M=""max""))/FILTER('Нормативные показатели (рабочая'!O:O,'Нормативные показатели (рабочая'!K:K=C11,'Нормативные показатели"&amp;" (рабочая'!L:L=H11,'Нормативные показатели (рабочая'!N:N=""на S плиты"",'Нормативные показатели (рабочая'!M:M=""max"")),""нет нормы""),"" "")"),"нет")</f>
        <v>нет</v>
      </c>
      <c r="U11" s="20" t="s">
        <v>29</v>
      </c>
      <c r="V11" s="18" t="s">
        <v>153</v>
      </c>
      <c r="W11" s="25"/>
    </row>
    <row r="12">
      <c r="A12" s="16" t="s">
        <v>155</v>
      </c>
      <c r="B12" s="16" t="s">
        <v>159</v>
      </c>
      <c r="C12" s="16" t="s">
        <v>25</v>
      </c>
      <c r="D12" s="18" t="s">
        <v>47</v>
      </c>
      <c r="E12" s="44" t="s">
        <v>29</v>
      </c>
      <c r="F12" s="18">
        <v>15.0</v>
      </c>
      <c r="G12" s="19" t="s">
        <v>157</v>
      </c>
      <c r="H12" s="20" t="s">
        <v>152</v>
      </c>
      <c r="I12" s="20" t="s">
        <v>27</v>
      </c>
      <c r="J12" s="21">
        <v>45121.0</v>
      </c>
      <c r="K12" s="18">
        <v>25.0</v>
      </c>
      <c r="L12" s="18">
        <v>129.25</v>
      </c>
      <c r="M12" s="18">
        <v>282.12</v>
      </c>
      <c r="N12" s="18">
        <v>410.4</v>
      </c>
      <c r="O12" s="45">
        <f t="shared" ref="O12:O80" si="3">IFERROR(IFS(C12="","",C12="МКД",L12/M12,C12&lt;&gt;"МКД","н-н"))</f>
        <v>0.4581383808</v>
      </c>
      <c r="P12" s="46" t="str">
        <f>IFERROR(__xludf.DUMMYFUNCTION("IFERROR(IF(F12&lt;26, (join("" - "",FILTER('Нормативные показатели (рабочая'!$O:$O,'Нормативные показатели (рабочая'!$K:$K=$C12,'Нормативные показатели (рабочая'!$L:$L=$H12,'Нормативные показатели (рабочая'!$N:$N=""на ОРП""))),""нет нормы""))"),"0,35 - 0,45")</f>
        <v>0,35 - 0,45</v>
      </c>
      <c r="Q12" s="47">
        <f>IFERROR(__xludf.DUMMYFUNCTION("IFS(F12&gt;26,""нет нормы"",C12="""","""",C12&lt;&gt;""МКД"",""нет нормы"",H12&lt;&gt;""Типовой"",""нет нормы"", AND(F12&lt;26,C12=""МКД""),ifs(FILTER('Нормативные показатели (рабочая'!O:O,'Нормативные показатели (рабочая'!K:K=C12,'Нормативные показатели (рабочая'!L:L=H12,"&amp;"'Нормативные показатели (рабочая'!N:N=""на ОРП"",'Нормативные показатели (рабочая'!M:M=""min"")&gt;O12,(-1) *(FILTER('Нормативные показатели (рабочая'!O:O,'Нормативные показатели (рабочая'!K:K=C12,'Нормативные показатели (рабочая'!L:L=H12,'Нормативные показа"&amp;"тели (рабочая'!N:N=""на ОРП"",'Нормативные показатели (рабочая'!M:M=""min"")-O12)/FILTER('Нормативные показатели (рабочая'!O:O,'Нормативные показатели (рабочая'!K:K=C12,'Нормативные показатели (рабочая'!L:L=H12,'Нормативные показатели (рабочая'!N:N=""на О"&amp;"РП"",'Нормативные показатели (рабочая'!M:M=""min""),AND(O12&gt;=FILTER('Нормативные показатели (рабочая'!O:O,'Нормативные показатели (рабочая'!K:K=C12,'Нормативные показатели (рабочая'!L:L=H12,'Нормативные показатели (рабочая'!N:N=""на ОРП"",'Нормативные пок"&amp;"азатели (рабочая'!M:M=""min""),O12&lt;=FILTER('Нормативные показатели (рабочая'!O:O,'Нормативные показатели (рабочая'!K:K=C12,'Нормативные показатели (рабочая'!L:L=H12,'Нормативные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(рабочая'!K:K=C12,'Нормативные показатели (рабочая'!L:L=H12,'Нормативные показатели (рабочая'!N:N=""на ОРП"",'Нормативные показатели (рабочая'!M:M=""max"")&lt;O12,(O12-FILTER"&amp;"('Нормативные показатели (рабочая'!O:O,'Нормативные показатели (рабочая'!K:K=C12,'Нормативные показатели (рабочая'!L:L=H12,'Нормативные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(рабочая'!K:K=C12,'Нормативные показатели (рабочая'!L:L=H12,'Нормативные показатели (рабочая'!N:N=""на ОРП"",'Нормативные показатели (рабочая'!M:M=""max"")))"),0.01808529073522691)</f>
        <v>0.01808529074</v>
      </c>
      <c r="R12" s="45">
        <f t="shared" si="2"/>
        <v>0.3149366472</v>
      </c>
      <c r="S12" s="46" t="str">
        <f>IFERROR(__xludf.DUMMYFUNCTION("IFERROR(IF(F12&lt;26,join("" - "",FILTER('Нормативные показатели (рабочая'!$O:$O,'Нормативные показатели (рабочая'!$K:$K=$C12,'Нормативные показатели (рабочая'!$L:$L=$H12,'Нормативные показатели (рабочая'!$N:$N=""на S плиты"")),""нет нормы""))"),"0,22 - 0,3")</f>
        <v>0,22 - 0,3</v>
      </c>
      <c r="T12" s="48">
        <f>IFERROR(__xludf.DUMMYFUNCTION("IFERROR(IF(F12&lt;26, ifs(FILTER('Нормативные показатели (рабочая'!O:O,'Нормативные показатели (рабочая'!K:K=C12,'Нормативные показатели (рабочая'!L:L=H12,'Нормативные показатели (рабочая'!N:N=""на S плиты"",'Нормативные показатели (рабочая'!M:M=""min"")&gt;R12"&amp;",(-1) *(FILTER('Нормативные показатели (рабочая'!O:O,'Нормативные показатели (рабочая'!K:K=C12,'Нормативные показатели (рабочая'!L:L=H12,'Нормативные показатели (рабочая'!N:N=""на S плиты"",'Нормативные показатели (рабочая'!M:M=""min"")-R12)/FILTER('Норма"&amp;"тивные показатели (рабочая'!O:O,'Нормативные показатели (рабочая'!K:K=C12,'Нормативные показатели (рабочая'!L:L=H12,'Нормативные показатели (рабочая'!N:N=""на S плиты"",'Нормативные показатели (рабочая'!M:M=""min""),AND(R12&gt;=FILTER('Нормативные показатели"&amp;" (рабочая'!O:O,'Нормативные показатели (рабочая'!K:K=C12,'Нормативные показатели (рабочая'!L:L=H12,'Нормативные показатели (рабочая'!N:N=""на S плиты"",'Нормативные показатели (рабочая'!M:M=""min""),R12&lt;=FILTER('Нормативные показатели (рабочая'!O:O,'Норма"&amp;"тивные показатели (рабочая'!K:K=C12,'Нормативные показатели (рабочая'!L:L=H12,'Нормативные показатели (рабочая'!N:N=""на S плиты"",'Нормативные показатели (рабочая'!M:M=""max"")),""нет"",FILTER('Нормативные показатели (рабочая'!O:O,'Нормативные показатели"&amp;" (рабочая'!K:K=C12,'Нормативные показатели (рабочая'!L:L=H12,'Нормативные показатели (рабочая'!N:N=""на S плиты"",'Нормативные показатели (рабочая'!M:M=""max"")&lt;R12,(R12-FILTER('Нормативные показатели (рабочая'!O:O,'Нормативные показатели (рабочая'!K:K=C1"&amp;"2,'Нормативные показатели (рабочая'!L:L=H12,'Нормативные показатели (рабочая'!N:N=""на S плиты"",'Нормативные показатели (рабочая'!M:M=""max""))/FILTER('Нормативные показатели (рабочая'!O:O,'Нормативные показатели (рабочая'!K:K=C12,'Нормативные показатели"&amp;" (рабочая'!L:L=H12,'Нормативные показатели (рабочая'!N:N=""на S плиты"",'Нормативные показатели (рабочая'!M:M=""max"")),""нет нормы""),"" "")"),0.04978882391163102)</f>
        <v>0.04978882391</v>
      </c>
      <c r="U12" s="20" t="s">
        <v>29</v>
      </c>
      <c r="V12" s="18" t="s">
        <v>160</v>
      </c>
      <c r="W12" s="25"/>
    </row>
    <row r="13">
      <c r="A13" s="16" t="s">
        <v>155</v>
      </c>
      <c r="B13" s="16" t="s">
        <v>159</v>
      </c>
      <c r="C13" s="16" t="s">
        <v>25</v>
      </c>
      <c r="D13" s="18" t="s">
        <v>43</v>
      </c>
      <c r="E13" s="44" t="s">
        <v>29</v>
      </c>
      <c r="F13" s="18">
        <v>13.0</v>
      </c>
      <c r="G13" s="19" t="s">
        <v>157</v>
      </c>
      <c r="H13" s="20" t="s">
        <v>152</v>
      </c>
      <c r="I13" s="20" t="s">
        <v>27</v>
      </c>
      <c r="J13" s="21">
        <v>45121.0</v>
      </c>
      <c r="K13" s="18">
        <v>25.0</v>
      </c>
      <c r="L13" s="18">
        <v>156.07</v>
      </c>
      <c r="M13" s="18">
        <v>350.62</v>
      </c>
      <c r="N13" s="18">
        <v>504.74</v>
      </c>
      <c r="O13" s="45">
        <f t="shared" si="3"/>
        <v>0.4451257772</v>
      </c>
      <c r="P13" s="46" t="str">
        <f>IFERROR(__xludf.DUMMYFUNCTION("IFERROR(IF(F13&lt;26, (join("" - "",FILTER('Нормативные показатели (рабочая'!$O:$O,'Нормативные показатели (рабочая'!$K:$K=$C13,'Нормативные показатели (рабочая'!$L:$L=$H13,'Нормативные показатели (рабочая'!$N:$N=""на ОРП""))),""нет нормы""))"),"0,35 - 0,45")</f>
        <v>0,35 - 0,45</v>
      </c>
      <c r="Q13" s="47" t="str">
        <f>IFERROR(__xludf.DUMMYFUNCTION("IFS(F13&gt;26,""нет нормы"",C13="""","""",C13&lt;&gt;""МКД"",""нет нормы"",H13&lt;&gt;""Типовой"",""нет нормы"", AND(F13&lt;26,C13=""МКД""),ifs(FILTER('Нормативные показатели (рабочая'!O:O,'Нормативные показатели (рабочая'!K:K=C13,'Нормативные показатели (рабочая'!L:L=H13,"&amp;"'Нормативные показатели (рабочая'!N:N=""на ОРП"",'Нормативные показатели (рабочая'!M:M=""min"")&gt;O13,(-1) *(FILTER('Нормативные показатели (рабочая'!O:O,'Нормативные показатели (рабочая'!K:K=C13,'Нормативные показатели (рабочая'!L:L=H13,'Нормативные показа"&amp;"тели (рабочая'!N:N=""на ОРП"",'Нормативные показатели (рабочая'!M:M=""min"")-O13)/FILTER('Нормативные показатели (рабочая'!O:O,'Нормативные показатели (рабочая'!K:K=C13,'Нормативные показатели (рабочая'!L:L=H13,'Нормативные показатели (рабочая'!N:N=""на О"&amp;"РП"",'Нормативные показатели (рабочая'!M:M=""min""),AND(O13&gt;=FILTER('Нормативные показатели (рабочая'!O:O,'Нормативные показатели (рабочая'!K:K=C13,'Нормативные показатели (рабочая'!L:L=H13,'Нормативные показатели (рабочая'!N:N=""на ОРП"",'Нормативные пок"&amp;"азатели (рабочая'!M:M=""min""),O13&lt;=FILTER('Нормативные показатели (рабочая'!O:O,'Нормативные показатели (рабочая'!K:K=C13,'Нормативные показатели (рабочая'!L:L=H13,'Нормативные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(рабочая'!K:K=C13,'Нормативные показатели (рабочая'!L:L=H13,'Нормативные показатели (рабочая'!N:N=""на ОРП"",'Нормативные показатели (рабочая'!M:M=""max"")&lt;O13,(O13-FILTER"&amp;"('Нормативные показатели (рабочая'!O:O,'Нормативные показатели (рабочая'!K:K=C13,'Нормативные показатели (рабочая'!L:L=H13,'Нормативные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(рабочая'!K:K=C13,'Нормативные показатели (рабочая'!L:L=H13,'Нормативные показатели (рабочая'!N:N=""на ОРП"",'Нормативные показатели (рабочая'!M:M=""max"")))"),"нет")</f>
        <v>нет</v>
      </c>
      <c r="R13" s="45">
        <f t="shared" si="2"/>
        <v>0.3092087015</v>
      </c>
      <c r="S13" s="46" t="str">
        <f>IFERROR(__xludf.DUMMYFUNCTION("IFERROR(IF(F13&lt;26,join("" - "",FILTER('Нормативные показатели (рабочая'!$O:$O,'Нормативные показатели (рабочая'!$K:$K=$C13,'Нормативные показатели (рабочая'!$L:$L=$H13,'Нормативные показатели (рабочая'!$N:$N=""на S плиты"")),""нет нормы""))"),"0,22 - 0,3")</f>
        <v>0,22 - 0,3</v>
      </c>
      <c r="T13" s="48">
        <f>IFERROR(__xludf.DUMMYFUNCTION("IFERROR(IF(F13&lt;26, ifs(FILTER('Нормативные показатели (рабочая'!O:O,'Нормативные показатели (рабочая'!K:K=C13,'Нормативные показатели (рабочая'!L:L=H13,'Нормативные показатели (рабочая'!N:N=""на S плиты"",'Нормативные показатели (рабочая'!M:M=""min"")&gt;R13"&amp;",(-1) *(FILTER('Нормативные показатели (рабочая'!O:O,'Нормативные показатели (рабочая'!K:K=C13,'Нормативные показатели (рабочая'!L:L=H13,'Нормативные показатели (рабочая'!N:N=""на S плиты"",'Нормативные показатели (рабочая'!M:M=""min"")-R13)/FILTER('Норма"&amp;"тивные показатели (рабочая'!O:O,'Нормативные показатели (рабочая'!K:K=C13,'Нормативные показатели (рабочая'!L:L=H13,'Нормативные показатели (рабочая'!N:N=""на S плиты"",'Нормативные показатели (рабочая'!M:M=""min""),AND(R13&gt;=FILTER('Нормативные показатели"&amp;" (рабочая'!O:O,'Нормативные показатели (рабочая'!K:K=C13,'Нормативные показатели (рабочая'!L:L=H13,'Нормативные показатели (рабочая'!N:N=""на S плиты"",'Нормативные показатели (рабочая'!M:M=""min""),R13&lt;=FILTER('Нормативные показатели (рабочая'!O:O,'Норма"&amp;"тивные показатели (рабочая'!K:K=C13,'Нормативные показатели (рабочая'!L:L=H13,'Нормативные показатели (рабочая'!N:N=""на S плиты"",'Нормативные показатели (рабочая'!M:M=""max"")),""нет"",FILTER('Нормативные показатели (рабочая'!O:O,'Нормативные показатели"&amp;" (рабочая'!K:K=C13,'Нормативные показатели (рабочая'!L:L=H13,'Нормативные показатели (рабочая'!N:N=""на S плиты"",'Нормативные показатели (рабочая'!M:M=""max"")&lt;R13,(R13-FILTER('Нормативные показатели (рабочая'!O:O,'Нормативные показатели (рабочая'!K:K=C1"&amp;"3,'Нормативные показатели (рабочая'!L:L=H13,'Нормативные показатели (рабочая'!N:N=""на S плиты"",'Нормативные показатели (рабочая'!M:M=""max""))/FILTER('Нормативные показатели (рабочая'!O:O,'Нормативные показатели (рабочая'!K:K=C13,'Нормативные показатели"&amp;" (рабочая'!L:L=H13,'Нормативные показатели (рабочая'!N:N=""на S плиты"",'Нормативные показатели (рабочая'!M:M=""max"")),""нет нормы""),"" "")"),0.030695671698960557)</f>
        <v>0.0306956717</v>
      </c>
      <c r="U13" s="20" t="s">
        <v>29</v>
      </c>
      <c r="V13" s="18" t="s">
        <v>153</v>
      </c>
      <c r="W13" s="25"/>
    </row>
    <row r="14">
      <c r="A14" s="16" t="s">
        <v>155</v>
      </c>
      <c r="B14" s="16" t="s">
        <v>159</v>
      </c>
      <c r="C14" s="16" t="s">
        <v>25</v>
      </c>
      <c r="D14" s="18" t="s">
        <v>158</v>
      </c>
      <c r="E14" s="44" t="s">
        <v>29</v>
      </c>
      <c r="F14" s="18">
        <v>13.0</v>
      </c>
      <c r="G14" s="19" t="s">
        <v>157</v>
      </c>
      <c r="H14" s="20" t="s">
        <v>152</v>
      </c>
      <c r="I14" s="20" t="s">
        <v>27</v>
      </c>
      <c r="J14" s="21">
        <v>45121.0</v>
      </c>
      <c r="K14" s="18">
        <v>25.0</v>
      </c>
      <c r="L14" s="18">
        <v>179.93</v>
      </c>
      <c r="M14" s="18">
        <v>415.78</v>
      </c>
      <c r="N14" s="18">
        <v>585.38</v>
      </c>
      <c r="O14" s="45">
        <f t="shared" si="3"/>
        <v>0.4327528982</v>
      </c>
      <c r="P14" s="46" t="str">
        <f>IFERROR(__xludf.DUMMYFUNCTION("IFERROR(IF(F14&lt;26, (join("" - "",FILTER('Нормативные показатели (рабочая'!$O:$O,'Нормативные показатели (рабочая'!$K:$K=$C14,'Нормативные показатели (рабочая'!$L:$L=$H14,'Нормативные показатели (рабочая'!$N:$N=""на ОРП""))),""нет нормы""))"),"0,35 - 0,45")</f>
        <v>0,35 - 0,45</v>
      </c>
      <c r="Q14" s="47" t="str">
        <f>IFERROR(__xludf.DUMMYFUNCTION("IFS(F14&gt;26,""нет нормы"",C14="""","""",C14&lt;&gt;""МКД"",""нет нормы"",H14&lt;&gt;""Типовой"",""нет нормы"", AND(F14&lt;26,C14=""МКД""),ifs(FILTER('Нормативные показатели (рабочая'!O:O,'Нормативные показатели (рабочая'!K:K=C14,'Нормативные показатели (рабочая'!L:L=H14,"&amp;"'Нормативные показатели (рабочая'!N:N=""на ОРП"",'Нормативные показатели (рабочая'!M:M=""min"")&gt;O14,(-1) *(FILTER('Нормативные показатели (рабочая'!O:O,'Нормативные показатели (рабочая'!K:K=C14,'Нормативные показатели (рабочая'!L:L=H14,'Нормативные показа"&amp;"тели (рабочая'!N:N=""на ОРП"",'Нормативные показатели (рабочая'!M:M=""min"")-O14)/FILTER('Нормативные показатели (рабочая'!O:O,'Нормативные показатели (рабочая'!K:K=C14,'Нормативные показатели (рабочая'!L:L=H14,'Нормативные показатели (рабочая'!N:N=""на О"&amp;"РП"",'Нормативные показатели (рабочая'!M:M=""min""),AND(O14&gt;=FILTER('Нормативные показатели (рабочая'!O:O,'Нормативные показатели (рабочая'!K:K=C14,'Нормативные показатели (рабочая'!L:L=H14,'Нормативные показатели (рабочая'!N:N=""на ОРП"",'Нормативные пок"&amp;"азатели (рабочая'!M:M=""min""),O14&lt;=FILTER('Нормативные показатели (рабочая'!O:O,'Нормативные показатели (рабочая'!K:K=C14,'Нормативные показатели (рабочая'!L:L=H14,'Нормативные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(рабочая'!K:K=C14,'Нормативные показатели (рабочая'!L:L=H14,'Нормативные показатели (рабочая'!N:N=""на ОРП"",'Нормативные показатели (рабочая'!M:M=""max"")&lt;O14,(O14-FILTER"&amp;"('Нормативные показатели (рабочая'!O:O,'Нормативные показатели (рабочая'!K:K=C14,'Нормативные показатели (рабочая'!L:L=H14,'Нормативные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(рабочая'!K:K=C14,'Нормативные показатели (рабочая'!L:L=H14,'Нормативные показатели (рабочая'!N:N=""на ОРП"",'Нормативные показатели (рабочая'!M:M=""max"")))"),"нет")</f>
        <v>нет</v>
      </c>
      <c r="R14" s="45">
        <f t="shared" si="2"/>
        <v>0.3073729885</v>
      </c>
      <c r="S14" s="46" t="str">
        <f>IFERROR(__xludf.DUMMYFUNCTION("IFERROR(IF(F14&lt;26,join("" - "",FILTER('Нормативные показатели (рабочая'!$O:$O,'Нормативные показатели (рабочая'!$K:$K=$C14,'Нормативные показатели (рабочая'!$L:$L=$H14,'Нормативные показатели (рабочая'!$N:$N=""на S плиты"")),""нет нормы""))"),"0,22 - 0,3")</f>
        <v>0,22 - 0,3</v>
      </c>
      <c r="T14" s="48">
        <f>IFERROR(__xludf.DUMMYFUNCTION("IFERROR(IF(F14&lt;26, ifs(FILTER('Нормативные показатели (рабочая'!O:O,'Нормативные показатели (рабочая'!K:K=C14,'Нормативные показатели (рабочая'!L:L=H14,'Нормативные показатели (рабочая'!N:N=""на S плиты"",'Нормативные показатели (рабочая'!M:M=""min"")&gt;R14"&amp;",(-1) *(FILTER('Нормативные показатели (рабочая'!O:O,'Нормативные показатели (рабочая'!K:K=C14,'Нормативные показатели (рабочая'!L:L=H14,'Нормативные показатели (рабочая'!N:N=""на S плиты"",'Нормативные показатели (рабочая'!M:M=""min"")-R14)/FILTER('Норма"&amp;"тивные показатели (рабочая'!O:O,'Нормативные показатели (рабочая'!K:K=C14,'Нормативные показатели (рабочая'!L:L=H14,'Нормативные показатели (рабочая'!N:N=""на S плиты"",'Нормативные показатели (рабочая'!M:M=""min""),AND(R14&gt;=FILTER('Нормативные показатели"&amp;" (рабочая'!O:O,'Нормативные показатели (рабочая'!K:K=C14,'Нормативные показатели (рабочая'!L:L=H14,'Нормативные показатели (рабочая'!N:N=""на S плиты"",'Нормативные показатели (рабочая'!M:M=""min""),R14&lt;=FILTER('Нормативные показатели (рабочая'!O:O,'Норма"&amp;"тивные показатели (рабочая'!K:K=C14,'Нормативные показатели (рабочая'!L:L=H14,'Нормативные показатели (рабочая'!N:N=""на S плиты"",'Нормативные показатели (рабочая'!M:M=""max"")),""нет"",FILTER('Нормативные показатели (рабочая'!O:O,'Нормативные показатели"&amp;" (рабочая'!K:K=C14,'Нормативные показатели (рабочая'!L:L=H14,'Нормативные показатели (рабочая'!N:N=""на S плиты"",'Нормативные показатели (рабочая'!M:M=""max"")&lt;R14,(R14-FILTER('Нормативные показатели (рабочая'!O:O,'Нормативные показатели (рабочая'!K:K=C1"&amp;"4,'Нормативные показатели (рабочая'!L:L=H14,'Нормативные показатели (рабочая'!N:N=""на S плиты"",'Нормативные показатели (рабочая'!M:M=""max""))/FILTER('Нормативные показатели (рабочая'!O:O,'Нормативные показатели (рабочая'!K:K=C14,'Нормативные показатели"&amp;" (рабочая'!L:L=H14,'Нормативные показатели (рабочая'!N:N=""на S плиты"",'Нормативные показатели (рабочая'!M:M=""max"")),""нет нормы""),"" "")"),0.024576628287038736)</f>
        <v>0.02457662829</v>
      </c>
      <c r="U14" s="20" t="s">
        <v>29</v>
      </c>
      <c r="V14" s="18" t="s">
        <v>153</v>
      </c>
      <c r="W14" s="25"/>
    </row>
    <row r="15">
      <c r="A15" s="16" t="s">
        <v>155</v>
      </c>
      <c r="B15" s="16" t="s">
        <v>159</v>
      </c>
      <c r="C15" s="16" t="s">
        <v>25</v>
      </c>
      <c r="D15" s="18" t="s">
        <v>51</v>
      </c>
      <c r="E15" s="44" t="s">
        <v>29</v>
      </c>
      <c r="F15" s="18">
        <v>15.0</v>
      </c>
      <c r="G15" s="19" t="s">
        <v>157</v>
      </c>
      <c r="H15" s="20" t="s">
        <v>152</v>
      </c>
      <c r="I15" s="20" t="s">
        <v>27</v>
      </c>
      <c r="J15" s="21">
        <v>45121.0</v>
      </c>
      <c r="K15" s="18">
        <v>25.0</v>
      </c>
      <c r="L15" s="18">
        <v>225.34</v>
      </c>
      <c r="M15" s="18">
        <v>546.12</v>
      </c>
      <c r="N15" s="18">
        <v>771.2</v>
      </c>
      <c r="O15" s="45">
        <f t="shared" si="3"/>
        <v>0.412619937</v>
      </c>
      <c r="P15" s="46" t="str">
        <f>IFERROR(__xludf.DUMMYFUNCTION("IFERROR(IF(F15&lt;26, (join("" - "",FILTER('Нормативные показатели (рабочая'!$O:$O,'Нормативные показатели (рабочая'!$K:$K=$C15,'Нормативные показатели (рабочая'!$L:$L=$H15,'Нормативные показатели (рабочая'!$N:$N=""на ОРП""))),""нет нормы""))"),"0,35 - 0,45")</f>
        <v>0,35 - 0,45</v>
      </c>
      <c r="Q15" s="47" t="str">
        <f>IFERROR(__xludf.DUMMYFUNCTION("IFS(F15&gt;26,""нет нормы"",C15="""","""",C15&lt;&gt;""МКД"",""нет нормы"",H15&lt;&gt;""Типовой"",""нет нормы"", AND(F15&lt;26,C15=""МКД""),ifs(FILTER('Нормативные показатели (рабочая'!O:O,'Нормативные показатели (рабочая'!K:K=C15,'Нормативные показатели (рабочая'!L:L=H15,"&amp;"'Нормативные показатели (рабочая'!N:N=""на ОРП"",'Нормативные показатели (рабочая'!M:M=""min"")&gt;O15,(-1) *(FILTER('Нормативные показатели (рабочая'!O:O,'Нормативные показатели (рабочая'!K:K=C15,'Нормативные показатели (рабочая'!L:L=H15,'Нормативные показа"&amp;"тели (рабочая'!N:N=""на ОРП"",'Нормативные показатели (рабочая'!M:M=""min"")-O15)/FILTER('Нормативные показатели (рабочая'!O:O,'Нормативные показатели (рабочая'!K:K=C15,'Нормативные показатели (рабочая'!L:L=H15,'Нормативные показатели (рабочая'!N:N=""на О"&amp;"РП"",'Нормативные показатели (рабочая'!M:M=""min""),AND(O15&gt;=FILTER('Нормативные показатели (рабочая'!O:O,'Нормативные показатели (рабочая'!K:K=C15,'Нормативные показатели (рабочая'!L:L=H15,'Нормативные показатели (рабочая'!N:N=""на ОРП"",'Нормативные пок"&amp;"азатели (рабочая'!M:M=""min""),O15&lt;=FILTER('Нормативные показатели (рабочая'!O:O,'Нормативные показатели (рабочая'!K:K=C15,'Нормативные показатели (рабочая'!L:L=H15,'Нормативные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(рабочая'!K:K=C15,'Нормативные показатели (рабочая'!L:L=H15,'Нормативные показатели (рабочая'!N:N=""на ОРП"",'Нормативные показатели (рабочая'!M:M=""max"")&lt;O15,(O15-FILTER"&amp;"('Нормативные показатели (рабочая'!O:O,'Нормативные показатели (рабочая'!K:K=C15,'Нормативные показатели (рабочая'!L:L=H15,'Нормативные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(рабочая'!K:K=C15,'Нормативные показатели (рабочая'!L:L=H15,'Нормативные показатели (рабочая'!N:N=""на ОРП"",'Нормативные показатели (рабочая'!M:M=""max"")))"),"нет")</f>
        <v>нет</v>
      </c>
      <c r="R15" s="45">
        <f t="shared" si="2"/>
        <v>0.2921939834</v>
      </c>
      <c r="S15" s="46" t="str">
        <f>IFERROR(__xludf.DUMMYFUNCTION("IFERROR(IF(F15&lt;26,join("" - "",FILTER('Нормативные показатели (рабочая'!$O:$O,'Нормативные показатели (рабочая'!$K:$K=$C15,'Нормативные показатели (рабочая'!$L:$L=$H15,'Нормативные показатели (рабочая'!$N:$N=""на S плиты"")),""нет нормы""))"),"0,22 - 0,3")</f>
        <v>0,22 - 0,3</v>
      </c>
      <c r="T15" s="48" t="str">
        <f>IFERROR(__xludf.DUMMYFUNCTION("IFERROR(IF(F15&lt;26, ifs(FILTER('Нормативные показатели (рабочая'!O:O,'Нормативные показатели (рабочая'!K:K=C15,'Нормативные показатели (рабочая'!L:L=H15,'Нормативные показатели (рабочая'!N:N=""на S плиты"",'Нормативные показатели (рабочая'!M:M=""min"")&gt;R15"&amp;",(-1) *(FILTER('Нормативные показатели (рабочая'!O:O,'Нормативные показатели (рабочая'!K:K=C15,'Нормативные показатели (рабочая'!L:L=H15,'Нормативные показатели (рабочая'!N:N=""на S плиты"",'Нормативные показатели (рабочая'!M:M=""min"")-R15)/FILTER('Норма"&amp;"тивные показатели (рабочая'!O:O,'Нормативные показатели (рабочая'!K:K=C15,'Нормативные показатели (рабочая'!L:L=H15,'Нормативные показатели (рабочая'!N:N=""на S плиты"",'Нормативные показатели (рабочая'!M:M=""min""),AND(R15&gt;=FILTER('Нормативные показатели"&amp;" (рабочая'!O:O,'Нормативные показатели (рабочая'!K:K=C15,'Нормативные показатели (рабочая'!L:L=H15,'Нормативные показатели (рабочая'!N:N=""на S плиты"",'Нормативные показатели (рабочая'!M:M=""min""),R15&lt;=FILTER('Нормативные показатели (рабочая'!O:O,'Норма"&amp;"тивные показатели (рабочая'!K:K=C15,'Нормативные показатели (рабочая'!L:L=H15,'Нормативные показатели (рабочая'!N:N=""на S плиты"",'Нормативные показатели (рабочая'!M:M=""max"")),""нет"",FILTER('Нормативные показатели (рабочая'!O:O,'Нормативные показатели"&amp;" (рабочая'!K:K=C15,'Нормативные показатели (рабочая'!L:L=H15,'Нормативные показатели (рабочая'!N:N=""на S плиты"",'Нормативные показатели (рабочая'!M:M=""max"")&lt;R15,(R15-FILTER('Нормативные показатели (рабочая'!O:O,'Нормативные показатели (рабочая'!K:K=C1"&amp;"5,'Нормативные показатели (рабочая'!L:L=H15,'Нормативные показатели (рабочая'!N:N=""на S плиты"",'Нормативные показатели (рабочая'!M:M=""max""))/FILTER('Нормативные показатели (рабочая'!O:O,'Нормативные показатели (рабочая'!K:K=C15,'Нормативные показатели"&amp;" (рабочая'!L:L=H15,'Нормативные показатели (рабочая'!N:N=""на S плиты"",'Нормативные показатели (рабочая'!M:M=""max"")),""нет нормы""),"" "")"),"нет")</f>
        <v>нет</v>
      </c>
      <c r="U15" s="20" t="s">
        <v>29</v>
      </c>
      <c r="V15" s="18" t="s">
        <v>153</v>
      </c>
      <c r="W15" s="25"/>
    </row>
    <row r="16">
      <c r="A16" s="16" t="s">
        <v>155</v>
      </c>
      <c r="B16" s="16" t="s">
        <v>159</v>
      </c>
      <c r="C16" s="16" t="s">
        <v>25</v>
      </c>
      <c r="D16" s="18" t="s">
        <v>52</v>
      </c>
      <c r="E16" s="44" t="s">
        <v>29</v>
      </c>
      <c r="F16" s="18">
        <v>12.0</v>
      </c>
      <c r="G16" s="19" t="s">
        <v>157</v>
      </c>
      <c r="H16" s="20" t="s">
        <v>152</v>
      </c>
      <c r="I16" s="20" t="s">
        <v>27</v>
      </c>
      <c r="J16" s="21">
        <v>45121.0</v>
      </c>
      <c r="K16" s="18">
        <v>25.0</v>
      </c>
      <c r="L16" s="18">
        <v>131.11</v>
      </c>
      <c r="M16" s="18">
        <v>277.56</v>
      </c>
      <c r="N16" s="18">
        <v>414.03</v>
      </c>
      <c r="O16" s="45">
        <f t="shared" si="3"/>
        <v>0.4723663352</v>
      </c>
      <c r="P16" s="46" t="str">
        <f>IFERROR(__xludf.DUMMYFUNCTION("IFERROR(IF(F16&lt;26, (join("" - "",FILTER('Нормативные показатели (рабочая'!$O:$O,'Нормативные показатели (рабочая'!$K:$K=$C16,'Нормативные показатели (рабочая'!$L:$L=$H16,'Нормативные показатели (рабочая'!$N:$N=""на ОРП""))),""нет нормы""))"),"0,35 - 0,45")</f>
        <v>0,35 - 0,45</v>
      </c>
      <c r="Q16" s="47">
        <f>IFERROR(__xludf.DUMMYFUNCTION("IFS(F16&gt;26,""нет нормы"",C16="""","""",C16&lt;&gt;""МКД"",""нет нормы"",H16&lt;&gt;""Типовой"",""нет нормы"", AND(F16&lt;26,C16=""МКД""),ifs(FILTER('Нормативные показатели (рабочая'!O:O,'Нормативные показатели (рабочая'!K:K=C16,'Нормативные показатели (рабочая'!L:L=H16,"&amp;"'Нормативные показатели (рабочая'!N:N=""на ОРП"",'Нормативные показатели (рабочая'!M:M=""min"")&gt;O16,(-1) *(FILTER('Нормативные показатели (рабочая'!O:O,'Нормативные показатели (рабочая'!K:K=C16,'Нормативные показатели (рабочая'!L:L=H16,'Нормативные показа"&amp;"тели (рабочая'!N:N=""на ОРП"",'Нормативные показатели (рабочая'!M:M=""min"")-O16)/FILTER('Нормативные показатели (рабочая'!O:O,'Нормативные показатели (рабочая'!K:K=C16,'Нормативные показатели (рабочая'!L:L=H16,'Нормативные показатели (рабочая'!N:N=""на О"&amp;"РП"",'Нормативные показатели (рабочая'!M:M=""min""),AND(O16&gt;=FILTER('Нормативные показатели (рабочая'!O:O,'Нормативные показатели (рабочая'!K:K=C16,'Нормативные показатели (рабочая'!L:L=H16,'Нормативные показатели (рабочая'!N:N=""на ОРП"",'Нормативные пок"&amp;"азатели (рабочая'!M:M=""min""),O16&lt;=FILTER('Нормативные показатели (рабочая'!O:O,'Нормативные показатели (рабочая'!K:K=C16,'Нормативные показатели (рабочая'!L:L=H16,'Нормативные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(рабочая'!K:K=C16,'Нормативные показатели (рабочая'!L:L=H16,'Нормативные показатели (рабочая'!N:N=""на ОРП"",'Нормативные показатели (рабочая'!M:M=""max"")&lt;O16,(O16-FILTER"&amp;"('Нормативные показатели (рабочая'!O:O,'Нормативные показатели (рабочая'!K:K=C16,'Нормативные показатели (рабочая'!L:L=H16,'Нормативные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(рабочая'!K:K=C16,'Нормативные показатели (рабочая'!L:L=H16,'Нормативные показатели (рабочая'!N:N=""на ОРП"",'Нормативные показатели (рабочая'!M:M=""max"")))"),0.04970296712622699)</f>
        <v>0.04970296713</v>
      </c>
      <c r="R16" s="45">
        <f t="shared" si="2"/>
        <v>0.3166678743</v>
      </c>
      <c r="S16" s="46" t="str">
        <f>IFERROR(__xludf.DUMMYFUNCTION("IFERROR(IF(F16&lt;26,join("" - "",FILTER('Нормативные показатели (рабочая'!$O:$O,'Нормативные показатели (рабочая'!$K:$K=$C16,'Нормативные показатели (рабочая'!$L:$L=$H16,'Нормативные показатели (рабочая'!$N:$N=""на S плиты"")),""нет нормы""))"),"0,22 - 0,3")</f>
        <v>0,22 - 0,3</v>
      </c>
      <c r="T16" s="48">
        <f>IFERROR(__xludf.DUMMYFUNCTION("IFERROR(IF(F16&lt;26, ifs(FILTER('Нормативные показатели (рабочая'!O:O,'Нормативные показатели (рабочая'!K:K=C16,'Нормативные показатели (рабочая'!L:L=H16,'Нормативные показатели (рабочая'!N:N=""на S плиты"",'Нормативные показатели (рабочая'!M:M=""min"")&gt;R16"&amp;",(-1) *(FILTER('Нормативные показатели (рабочая'!O:O,'Нормативные показатели (рабочая'!K:K=C16,'Нормативные показатели (рабочая'!L:L=H16,'Нормативные показатели (рабочая'!N:N=""на S плиты"",'Нормативные показатели (рабочая'!M:M=""min"")-R16)/FILTER('Норма"&amp;"тивные показатели (рабочая'!O:O,'Нормативные показатели (рабочая'!K:K=C16,'Нормативные показатели (рабочая'!L:L=H16,'Нормативные показатели (рабочая'!N:N=""на S плиты"",'Нормативные показатели (рабочая'!M:M=""min""),AND(R16&gt;=FILTER('Нормативные показатели"&amp;" (рабочая'!O:O,'Нормативные показатели (рабочая'!K:K=C16,'Нормативные показатели (рабочая'!L:L=H16,'Нормативные показатели (рабочая'!N:N=""на S плиты"",'Нормативные показатели (рабочая'!M:M=""min""),R16&lt;=FILTER('Нормативные показатели (рабочая'!O:O,'Норма"&amp;"тивные показатели (рабочая'!K:K=C16,'Нормативные показатели (рабочая'!L:L=H16,'Нормативные показатели (рабочая'!N:N=""на S плиты"",'Нормативные показатели (рабочая'!M:M=""max"")),""нет"",FILTER('Нормативные показатели (рабочая'!O:O,'Нормативные показатели"&amp;" (рабочая'!K:K=C16,'Нормативные показатели (рабочая'!L:L=H16,'Нормативные показатели (рабочая'!N:N=""на S плиты"",'Нормативные показатели (рабочая'!M:M=""max"")&lt;R16,(R16-FILTER('Нормативные показатели (рабочая'!O:O,'Нормативные показатели (рабочая'!K:K=C1"&amp;"6,'Нормативные показатели (рабочая'!L:L=H16,'Нормативные показатели (рабочая'!N:N=""на S плиты"",'Нормативные показатели (рабочая'!M:M=""max""))/FILTER('Нормативные показатели (рабочая'!O:O,'Нормативные показатели (рабочая'!K:K=C16,'Нормативные показатели"&amp;" (рабочая'!L:L=H16,'Нормативные показатели (рабочая'!N:N=""на S плиты"",'Нормативные показатели (рабочая'!M:M=""max"")),""нет нормы""),"" "")"),0.05555958102875014)</f>
        <v>0.05555958103</v>
      </c>
      <c r="U16" s="20" t="s">
        <v>29</v>
      </c>
      <c r="V16" s="18" t="s">
        <v>160</v>
      </c>
      <c r="W16" s="25"/>
    </row>
    <row r="17">
      <c r="A17" s="16" t="s">
        <v>155</v>
      </c>
      <c r="B17" s="16" t="s">
        <v>161</v>
      </c>
      <c r="C17" s="16" t="s">
        <v>25</v>
      </c>
      <c r="D17" s="18" t="s">
        <v>47</v>
      </c>
      <c r="E17" s="44" t="s">
        <v>29</v>
      </c>
      <c r="F17" s="18">
        <v>11.0</v>
      </c>
      <c r="G17" s="19" t="s">
        <v>157</v>
      </c>
      <c r="H17" s="20" t="s">
        <v>152</v>
      </c>
      <c r="I17" s="20" t="s">
        <v>27</v>
      </c>
      <c r="J17" s="21">
        <v>45121.0</v>
      </c>
      <c r="K17" s="18">
        <v>25.0</v>
      </c>
      <c r="L17" s="18">
        <v>131.25</v>
      </c>
      <c r="M17" s="18">
        <v>279.09</v>
      </c>
      <c r="N17" s="18">
        <v>410.56</v>
      </c>
      <c r="O17" s="45">
        <f t="shared" si="3"/>
        <v>0.4702784048</v>
      </c>
      <c r="P17" s="46" t="str">
        <f>IFERROR(__xludf.DUMMYFUNCTION("IFERROR(IF(F17&lt;26, (join("" - "",FILTER('Нормативные показатели (рабочая'!$O:$O,'Нормативные показатели (рабочая'!$K:$K=$C17,'Нормативные показатели (рабочая'!$L:$L=$H17,'Нормативные показатели (рабочая'!$N:$N=""на ОРП""))),""нет нормы""))"),"0,35 - 0,45")</f>
        <v>0,35 - 0,45</v>
      </c>
      <c r="Q17" s="47">
        <f>IFERROR(__xludf.DUMMYFUNCTION("IFS(F17&gt;26,""нет нормы"",C17="""","""",C17&lt;&gt;""МКД"",""нет нормы"",H17&lt;&gt;""Типовой"",""нет нормы"", AND(F17&lt;26,C17=""МКД""),ifs(FILTER('Нормативные показатели (рабочая'!O:O,'Нормативные показатели (рабочая'!K:K=C17,'Нормативные показатели (рабочая'!L:L=H17,"&amp;"'Нормативные показатели (рабочая'!N:N=""на ОРП"",'Нормативные показатели (рабочая'!M:M=""min"")&gt;O17,(-1) *(FILTER('Нормативные показатели (рабочая'!O:O,'Нормативные показатели (рабочая'!K:K=C17,'Нормативные показатели (рабочая'!L:L=H17,'Нормативные показа"&amp;"тели (рабочая'!N:N=""на ОРП"",'Нормативные показатели (рабочая'!M:M=""min"")-O17)/FILTER('Нормативные показатели (рабочая'!O:O,'Нормативные показатели (рабочая'!K:K=C17,'Нормативные показатели (рабочая'!L:L=H17,'Нормативные показатели (рабочая'!N:N=""на О"&amp;"РП"",'Нормативные показатели (рабочая'!M:M=""min""),AND(O17&gt;=FILTER('Нормативные показатели (рабочая'!O:O,'Нормативные показатели (рабочая'!K:K=C17,'Нормативные показатели (рабочая'!L:L=H17,'Нормативные показатели (рабочая'!N:N=""на ОРП"",'Нормативные пок"&amp;"азатели (рабочая'!M:M=""min""),O17&lt;=FILTER('Нормативные показатели (рабочая'!O:O,'Нормативные показатели (рабочая'!K:K=C17,'Нормативные показатели (рабочая'!L:L=H17,'Нормативные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(рабочая'!K:K=C17,'Нормативные показатели (рабочая'!L:L=H17,'Нормативные показатели (рабочая'!N:N=""на ОРП"",'Нормативные показатели (рабочая'!M:M=""max"")&lt;O17,(O17-FILTER"&amp;"('Нормативные показатели (рабочая'!O:O,'Нормативные показатели (рабочая'!K:K=C17,'Нормативные показатели (рабочая'!L:L=H17,'Нормативные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(рабочая'!K:K=C17,'Нормативные показатели (рабочая'!L:L=H17,'Нормативные показатели (рабочая'!N:N=""на ОРП"",'Нормативные показатели (рабочая'!M:M=""max"")))"),0.045063121812557574)</f>
        <v>0.04506312181</v>
      </c>
      <c r="R17" s="45">
        <f t="shared" si="2"/>
        <v>0.3196853079</v>
      </c>
      <c r="S17" s="46" t="str">
        <f>IFERROR(__xludf.DUMMYFUNCTION("IFERROR(IF(F17&lt;26,join("" - "",FILTER('Нормативные показатели (рабочая'!$O:$O,'Нормативные показатели (рабочая'!$K:$K=$C17,'Нормативные показатели (рабочая'!$L:$L=$H17,'Нормативные показатели (рабочая'!$N:$N=""на S плиты"")),""нет нормы""))"),"0,22 - 0,3")</f>
        <v>0,22 - 0,3</v>
      </c>
      <c r="T17" s="48">
        <f>IFERROR(__xludf.DUMMYFUNCTION("IFERROR(IF(F17&lt;26, ifs(FILTER('Нормативные показатели (рабочая'!O:O,'Нормативные показатели (рабочая'!K:K=C17,'Нормативные показатели (рабочая'!L:L=H17,'Нормативные показатели (рабочая'!N:N=""на S плиты"",'Нормативные показатели (рабочая'!M:M=""min"")&gt;R17"&amp;",(-1) *(FILTER('Нормативные показатели (рабочая'!O:O,'Нормативные показатели (рабочая'!K:K=C17,'Нормативные показатели (рабочая'!L:L=H17,'Нормативные показатели (рабочая'!N:N=""на S плиты"",'Нормативные показатели (рабочая'!M:M=""min"")-R17)/FILTER('Норма"&amp;"тивные показатели (рабочая'!O:O,'Нормативные показатели (рабочая'!K:K=C17,'Нормативные показатели (рабочая'!L:L=H17,'Нормативные показатели (рабочая'!N:N=""на S плиты"",'Нормативные показатели (рабочая'!M:M=""min""),AND(R17&gt;=FILTER('Нормативные показатели"&amp;" (рабочая'!O:O,'Нормативные показатели (рабочая'!K:K=C17,'Нормативные показатели (рабочая'!L:L=H17,'Нормативные показатели (рабочая'!N:N=""на S плиты"",'Нормативные показатели (рабочая'!M:M=""min""),R17&lt;=FILTER('Нормативные показатели (рабочая'!O:O,'Норма"&amp;"тивные показатели (рабочая'!K:K=C17,'Нормативные показатели (рабочая'!L:L=H17,'Нормативные показатели (рабочая'!N:N=""на S плиты"",'Нормативные показатели (рабочая'!M:M=""max"")),""нет"",FILTER('Нормативные показатели (рабочая'!O:O,'Нормативные показатели"&amp;" (рабочая'!K:K=C17,'Нормативные показатели (рабочая'!L:L=H17,'Нормативные показатели (рабочая'!N:N=""на S плиты"",'Нормативные показатели (рабочая'!M:M=""max"")&lt;R17,(R17-FILTER('Нормативные показатели (рабочая'!O:O,'Нормативные показатели (рабочая'!K:K=C1"&amp;"7,'Нормативные показатели (рабочая'!L:L=H17,'Нормативные показатели (рабочая'!N:N=""на S плиты"",'Нормативные показатели (рабочая'!M:M=""max""))/FILTER('Нормативные показатели (рабочая'!O:O,'Нормативные показатели (рабочая'!K:K=C17,'Нормативные показатели"&amp;" (рабочая'!L:L=H17,'Нормативные показатели (рабочая'!N:N=""на S плиты"",'Нормативные показатели (рабочая'!M:M=""max"")),""нет нормы""),"" "")"),0.06561769290724866)</f>
        <v>0.06561769291</v>
      </c>
      <c r="U17" s="20" t="s">
        <v>29</v>
      </c>
      <c r="V17" s="49" t="s">
        <v>160</v>
      </c>
      <c r="W17" s="25"/>
    </row>
    <row r="18">
      <c r="A18" s="16" t="s">
        <v>155</v>
      </c>
      <c r="B18" s="16" t="s">
        <v>161</v>
      </c>
      <c r="C18" s="16" t="s">
        <v>25</v>
      </c>
      <c r="D18" s="18" t="s">
        <v>162</v>
      </c>
      <c r="E18" s="44" t="s">
        <v>29</v>
      </c>
      <c r="F18" s="18">
        <v>13.0</v>
      </c>
      <c r="G18" s="19" t="s">
        <v>157</v>
      </c>
      <c r="H18" s="20" t="s">
        <v>152</v>
      </c>
      <c r="I18" s="20" t="s">
        <v>27</v>
      </c>
      <c r="J18" s="21">
        <v>45121.0</v>
      </c>
      <c r="K18" s="18">
        <v>25.0</v>
      </c>
      <c r="L18" s="18">
        <v>181.72</v>
      </c>
      <c r="M18" s="18">
        <v>426.17</v>
      </c>
      <c r="N18" s="18">
        <v>599.76</v>
      </c>
      <c r="O18" s="45">
        <f t="shared" si="3"/>
        <v>0.4264026093</v>
      </c>
      <c r="P18" s="46" t="str">
        <f>IFERROR(__xludf.DUMMYFUNCTION("IFERROR(IF(F18&lt;26, (join("" - "",FILTER('Нормативные показатели (рабочая'!$O:$O,'Нормативные показатели (рабочая'!$K:$K=$C18,'Нормативные показатели (рабочая'!$L:$L=$H18,'Нормативные показатели (рабочая'!$N:$N=""на ОРП""))),""нет нормы""))"),"0,35 - 0,45")</f>
        <v>0,35 - 0,45</v>
      </c>
      <c r="Q18" s="47" t="str">
        <f>IFERROR(__xludf.DUMMYFUNCTION("IFS(F18&gt;26,""нет нормы"",C18="""","""",C18&lt;&gt;""МКД"",""нет нормы"",H18&lt;&gt;""Типовой"",""нет нормы"", AND(F18&lt;26,C18=""МКД""),ifs(FILTER('Нормативные показатели (рабочая'!O:O,'Нормативные показатели (рабочая'!K:K=C18,'Нормативные показатели (рабочая'!L:L=H18,"&amp;"'Нормативные показатели (рабочая'!N:N=""на ОРП"",'Нормативные показатели (рабочая'!M:M=""min"")&gt;O18,(-1) *(FILTER('Нормативные показатели (рабочая'!O:O,'Нормативные показатели (рабочая'!K:K=C18,'Нормативные показатели (рабочая'!L:L=H18,'Нормативные показа"&amp;"тели (рабочая'!N:N=""на ОРП"",'Нормативные показатели (рабочая'!M:M=""min"")-O18)/FILTER('Нормативные показатели (рабочая'!O:O,'Нормативные показатели (рабочая'!K:K=C18,'Нормативные показатели (рабочая'!L:L=H18,'Нормативные показатели (рабочая'!N:N=""на О"&amp;"РП"",'Нормативные показатели (рабочая'!M:M=""min""),AND(O18&gt;=FILTER('Нормативные показатели (рабочая'!O:O,'Нормативные показатели (рабочая'!K:K=C18,'Нормативные показатели (рабочая'!L:L=H18,'Нормативные показатели (рабочая'!N:N=""на ОРП"",'Нормативные пок"&amp;"азатели (рабочая'!M:M=""min""),O18&lt;=FILTER('Нормативные показатели (рабочая'!O:O,'Нормативные показатели (рабочая'!K:K=C18,'Нормативные показатели (рабочая'!L:L=H18,'Нормативные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(рабочая'!K:K=C18,'Нормативные показатели (рабочая'!L:L=H18,'Нормативные показатели (рабочая'!N:N=""на ОРП"",'Нормативные показатели (рабочая'!M:M=""max"")&lt;O18,(O18-FILTER"&amp;"('Нормативные показатели (рабочая'!O:O,'Нормативные показатели (рабочая'!K:K=C18,'Нормативные показатели (рабочая'!L:L=H18,'Нормативные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(рабочая'!K:K=C18,'Нормативные показатели (рабочая'!L:L=H18,'Нормативные показатели (рабочая'!N:N=""на ОРП"",'Нормативные показатели (рабочая'!M:M=""max"")))"),"нет")</f>
        <v>нет</v>
      </c>
      <c r="R18" s="45">
        <f t="shared" si="2"/>
        <v>0.3029878618</v>
      </c>
      <c r="S18" s="46" t="str">
        <f>IFERROR(__xludf.DUMMYFUNCTION("IFERROR(IF(F18&lt;26,join("" - "",FILTER('Нормативные показатели (рабочая'!$O:$O,'Нормативные показатели (рабочая'!$K:$K=$C18,'Нормативные показатели (рабочая'!$L:$L=$H18,'Нормативные показатели (рабочая'!$N:$N=""на S плиты"")),""нет нормы""))"),"0,22 - 0,3")</f>
        <v>0,22 - 0,3</v>
      </c>
      <c r="T18" s="48">
        <f>IFERROR(__xludf.DUMMYFUNCTION("IFERROR(IF(F18&lt;26, ifs(FILTER('Нормативные показатели (рабочая'!O:O,'Нормативные показатели (рабочая'!K:K=C18,'Нормативные показатели (рабочая'!L:L=H18,'Нормативные показатели (рабочая'!N:N=""на S плиты"",'Нормативные показатели (рабочая'!M:M=""min"")&gt;R18"&amp;",(-1) *(FILTER('Нормативные показатели (рабочая'!O:O,'Нормативные показатели (рабочая'!K:K=C18,'Нормативные показатели (рабочая'!L:L=H18,'Нормативные показатели (рабочая'!N:N=""на S плиты"",'Нормативные показатели (рабочая'!M:M=""min"")-R18)/FILTER('Норма"&amp;"тивные показатели (рабочая'!O:O,'Нормативные показатели (рабочая'!K:K=C18,'Нормативные показатели (рабочая'!L:L=H18,'Нормативные показатели (рабочая'!N:N=""на S плиты"",'Нормативные показатели (рабочая'!M:M=""min""),AND(R18&gt;=FILTER('Нормативные показатели"&amp;" (рабочая'!O:O,'Нормативные показатели (рабочая'!K:K=C18,'Нормативные показатели (рабочая'!L:L=H18,'Нормативные показатели (рабочая'!N:N=""на S плиты"",'Нормативные показатели (рабочая'!M:M=""min""),R18&lt;=FILTER('Нормативные показатели (рабочая'!O:O,'Норма"&amp;"тивные показатели (рабочая'!K:K=C18,'Нормативные показатели (рабочая'!L:L=H18,'Нормативные показатели (рабочая'!N:N=""на S плиты"",'Нормативные показатели (рабочая'!M:M=""max"")),""нет"",FILTER('Нормативные показатели (рабочая'!O:O,'Нормативные показатели"&amp;" (рабочая'!K:K=C18,'Нормативные показатели (рабочая'!L:L=H18,'Нормативные показатели (рабочая'!N:N=""на S плиты"",'Нормативные показатели (рабочая'!M:M=""max"")&lt;R18,(R18-FILTER('Нормативные показатели (рабочая'!O:O,'Нормативные показатели (рабочая'!K:K=C1"&amp;"8,'Нормативные показатели (рабочая'!L:L=H18,'Нормативные показатели (рабочая'!N:N=""на S плиты"",'Нормативные показатели (рабочая'!M:M=""max""))/FILTER('Нормативные показатели (рабочая'!O:O,'Нормативные показатели (рабочая'!K:K=C18,'Нормативные показатели"&amp;" (рабочая'!L:L=H18,'Нормативные показатели (рабочая'!N:N=""на S плиты"",'Нормативные показатели (рабочая'!M:M=""max"")),""нет нормы""),"" "")"),0.009959539371304043)</f>
        <v>0.009959539371</v>
      </c>
      <c r="U18" s="20" t="s">
        <v>29</v>
      </c>
      <c r="V18" s="18" t="s">
        <v>153</v>
      </c>
      <c r="W18" s="25"/>
    </row>
    <row r="19">
      <c r="A19" s="16" t="s">
        <v>155</v>
      </c>
      <c r="B19" s="16" t="s">
        <v>161</v>
      </c>
      <c r="C19" s="16" t="s">
        <v>25</v>
      </c>
      <c r="D19" s="18" t="s">
        <v>158</v>
      </c>
      <c r="E19" s="44" t="s">
        <v>29</v>
      </c>
      <c r="F19" s="18">
        <v>13.0</v>
      </c>
      <c r="G19" s="19" t="s">
        <v>157</v>
      </c>
      <c r="H19" s="20" t="s">
        <v>152</v>
      </c>
      <c r="I19" s="20" t="s">
        <v>27</v>
      </c>
      <c r="J19" s="21">
        <v>45121.0</v>
      </c>
      <c r="K19" s="18">
        <v>25.0</v>
      </c>
      <c r="L19" s="18">
        <v>225.77</v>
      </c>
      <c r="M19" s="18">
        <v>540.09</v>
      </c>
      <c r="N19" s="18">
        <v>753.8</v>
      </c>
      <c r="O19" s="45">
        <f t="shared" si="3"/>
        <v>0.4180229221</v>
      </c>
      <c r="P19" s="46" t="str">
        <f>IFERROR(__xludf.DUMMYFUNCTION("IFERROR(IF(F19&lt;26, (join("" - "",FILTER('Нормативные показатели (рабочая'!$O:$O,'Нормативные показатели (рабочая'!$K:$K=$C19,'Нормативные показатели (рабочая'!$L:$L=$H19,'Нормативные показатели (рабочая'!$N:$N=""на ОРП""))),""нет нормы""))"),"0,35 - 0,45")</f>
        <v>0,35 - 0,45</v>
      </c>
      <c r="Q19" s="47" t="str">
        <f>IFERROR(__xludf.DUMMYFUNCTION("IFS(F19&gt;26,""нет нормы"",C19="""","""",C19&lt;&gt;""МКД"",""нет нормы"",H19&lt;&gt;""Типовой"",""нет нормы"", AND(F19&lt;26,C19=""МКД""),ifs(FILTER('Нормативные показатели (рабочая'!O:O,'Нормативные показатели (рабочая'!K:K=C19,'Нормативные показатели (рабочая'!L:L=H19,"&amp;"'Нормативные показатели (рабочая'!N:N=""на ОРП"",'Нормативные показатели (рабочая'!M:M=""min"")&gt;O19,(-1) *(FILTER('Нормативные показатели (рабочая'!O:O,'Нормативные показатели (рабочая'!K:K=C19,'Нормативные показатели (рабочая'!L:L=H19,'Нормативные показа"&amp;"тели (рабочая'!N:N=""на ОРП"",'Нормативные показатели (рабочая'!M:M=""min"")-O19)/FILTER('Нормативные показатели (рабочая'!O:O,'Нормативные показатели (рабочая'!K:K=C19,'Нормативные показатели (рабочая'!L:L=H19,'Нормативные показатели (рабочая'!N:N=""на О"&amp;"РП"",'Нормативные показатели (рабочая'!M:M=""min""),AND(O19&gt;=FILTER('Нормативные показатели (рабочая'!O:O,'Нормативные показатели (рабочая'!K:K=C19,'Нормативные показатели (рабочая'!L:L=H19,'Нормативные показатели (рабочая'!N:N=""на ОРП"",'Нормативные пок"&amp;"азатели (рабочая'!M:M=""min""),O19&lt;=FILTER('Нормативные показатели (рабочая'!O:O,'Нормативные показатели (рабочая'!K:K=C19,'Нормативные показатели (рабочая'!L:L=H19,'Нормативные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(рабочая'!K:K=C19,'Нормативные показатели (рабочая'!L:L=H19,'Нормативные показатели (рабочая'!N:N=""на ОРП"",'Нормативные показатели (рабочая'!M:M=""max"")&lt;O19,(O19-FILTER"&amp;"('Нормативные показатели (рабочая'!O:O,'Нормативные показатели (рабочая'!K:K=C19,'Нормативные показатели (рабочая'!L:L=H19,'Нормативные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(рабочая'!K:K=C19,'Нормативные показатели (рабочая'!L:L=H19,'Нормативные показатели (рабочая'!N:N=""на ОРП"",'Нормативные показатели (рабочая'!M:M=""max"")))"),"нет")</f>
        <v>нет</v>
      </c>
      <c r="R19" s="45">
        <f t="shared" si="2"/>
        <v>0.2995091536</v>
      </c>
      <c r="S19" s="46" t="str">
        <f>IFERROR(__xludf.DUMMYFUNCTION("IFERROR(IF(F19&lt;26,join("" - "",FILTER('Нормативные показатели (рабочая'!$O:$O,'Нормативные показатели (рабочая'!$K:$K=$C19,'Нормативные показатели (рабочая'!$L:$L=$H19,'Нормативные показатели (рабочая'!$N:$N=""на S плиты"")),""нет нормы""))"),"0,22 - 0,3")</f>
        <v>0,22 - 0,3</v>
      </c>
      <c r="T19" s="48" t="str">
        <f>IFERROR(__xludf.DUMMYFUNCTION("IFERROR(IF(F19&lt;26, ifs(FILTER('Нормативные показатели (рабочая'!O:O,'Нормативные показатели (рабочая'!K:K=C19,'Нормативные показатели (рабочая'!L:L=H19,'Нормативные показатели (рабочая'!N:N=""на S плиты"",'Нормативные показатели (рабочая'!M:M=""min"")&gt;R19"&amp;",(-1) *(FILTER('Нормативные показатели (рабочая'!O:O,'Нормативные показатели (рабочая'!K:K=C19,'Нормативные показатели (рабочая'!L:L=H19,'Нормативные показатели (рабочая'!N:N=""на S плиты"",'Нормативные показатели (рабочая'!M:M=""min"")-R19)/FILTER('Норма"&amp;"тивные показатели (рабочая'!O:O,'Нормативные показатели (рабочая'!K:K=C19,'Нормативные показатели (рабочая'!L:L=H19,'Нормативные показатели (рабочая'!N:N=""на S плиты"",'Нормативные показатели (рабочая'!M:M=""min""),AND(R19&gt;=FILTER('Нормативные показатели"&amp;" (рабочая'!O:O,'Нормативные показатели (рабочая'!K:K=C19,'Нормативные показатели (рабочая'!L:L=H19,'Нормативные показатели (рабочая'!N:N=""на S плиты"",'Нормативные показатели (рабочая'!M:M=""min""),R19&lt;=FILTER('Нормативные показатели (рабочая'!O:O,'Норма"&amp;"тивные показатели (рабочая'!K:K=C19,'Нормативные показатели (рабочая'!L:L=H19,'Нормативные показатели (рабочая'!N:N=""на S плиты"",'Нормативные показатели (рабочая'!M:M=""max"")),""нет"",FILTER('Нормативные показатели (рабочая'!O:O,'Нормативные показатели"&amp;" (рабочая'!K:K=C19,'Нормативные показатели (рабочая'!L:L=H19,'Нормативные показатели (рабочая'!N:N=""на S плиты"",'Нормативные показатели (рабочая'!M:M=""max"")&lt;R19,(R19-FILTER('Нормативные показатели (рабочая'!O:O,'Нормативные показатели (рабочая'!K:K=C1"&amp;"9,'Нормативные показатели (рабочая'!L:L=H19,'Нормативные показатели (рабочая'!N:N=""на S плиты"",'Нормативные показатели (рабочая'!M:M=""max""))/FILTER('Нормативные показатели (рабочая'!O:O,'Нормативные показатели (рабочая'!K:K=C19,'Нормативные показатели"&amp;" (рабочая'!L:L=H19,'Нормативные показатели (рабочая'!N:N=""на S плиты"",'Нормативные показатели (рабочая'!M:M=""max"")),""нет нормы""),"" "")"),"нет")</f>
        <v>нет</v>
      </c>
      <c r="U19" s="20" t="s">
        <v>29</v>
      </c>
      <c r="V19" s="18" t="s">
        <v>153</v>
      </c>
      <c r="W19" s="25"/>
    </row>
    <row r="20" ht="15.75" customHeight="1">
      <c r="A20" s="16" t="s">
        <v>155</v>
      </c>
      <c r="B20" s="16" t="s">
        <v>161</v>
      </c>
      <c r="C20" s="16" t="s">
        <v>25</v>
      </c>
      <c r="D20" s="18" t="s">
        <v>163</v>
      </c>
      <c r="E20" s="44" t="s">
        <v>29</v>
      </c>
      <c r="F20" s="18">
        <v>1.0</v>
      </c>
      <c r="G20" s="16" t="s">
        <v>157</v>
      </c>
      <c r="H20" s="20" t="s">
        <v>164</v>
      </c>
      <c r="I20" s="20" t="s">
        <v>27</v>
      </c>
      <c r="J20" s="21">
        <v>45121.0</v>
      </c>
      <c r="K20" s="18">
        <v>25.0</v>
      </c>
      <c r="L20" s="18">
        <v>95.25</v>
      </c>
      <c r="M20" s="18">
        <v>259.02</v>
      </c>
      <c r="N20" s="18">
        <v>294.7</v>
      </c>
      <c r="O20" s="45">
        <f t="shared" si="3"/>
        <v>0.3677322215</v>
      </c>
      <c r="P20" s="46" t="str">
        <f>IFERROR(__xludf.DUMMYFUNCTION("IFERROR(IF(F20&lt;26, (join("" - "",FILTER('Нормативные показатели (рабочая'!$O:$O,'Нормативные показатели (рабочая'!$K:$K=$C20,'Нормативные показатели (рабочая'!$L:$L=$H20,'Нормативные показатели (рабочая'!$N:$N=""на ОРП""))),""нет нормы""))"),"н - н")</f>
        <v>н - н</v>
      </c>
      <c r="Q20" s="47" t="str">
        <f>IFERROR(__xludf.DUMMYFUNCTION("IFS(F20&gt;26,""нет нормы"",C20="""","""",C20&lt;&gt;""МКД"",""нет нормы"",H20&lt;&gt;""Типовой"",""нет нормы"", AND(F20&lt;26,C20=""МКД""),ifs(FILTER('Нормативные показатели (рабочая'!O:O,'Нормативные показатели (рабочая'!K:K=C20,'Нормативные показатели (рабочая'!L:L=H20,"&amp;"'Нормативные показатели (рабочая'!N:N=""на ОРП"",'Нормативные показатели (рабочая'!M:M=""min"")&gt;O20,(-1) *(FILTER('Нормативные показатели (рабочая'!O:O,'Нормативные показатели (рабочая'!K:K=C20,'Нормативные показатели (рабочая'!L:L=H20,'Нормативные показа"&amp;"тели (рабочая'!N:N=""на ОРП"",'Нормативные показатели (рабочая'!M:M=""min"")-O20)/FILTER('Нормативные показатели (рабочая'!O:O,'Нормативные показатели (рабочая'!K:K=C20,'Нормативные показатели (рабочая'!L:L=H20,'Нормативные показатели (рабочая'!N:N=""на О"&amp;"РП"",'Нормативные показатели (рабочая'!M:M=""min""),AND(O20&gt;=FILTER('Нормативные показатели (рабочая'!O:O,'Нормативные показатели (рабочая'!K:K=C20,'Нормативные показатели (рабочая'!L:L=H20,'Нормативные показатели (рабочая'!N:N=""на ОРП"",'Нормативные пок"&amp;"азатели (рабочая'!M:M=""min""),O20&lt;=FILTER('Нормативные показатели (рабочая'!O:O,'Нормативные показатели (рабочая'!K:K=C20,'Нормативные показатели (рабочая'!L:L=H20,'Нормативные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(рабочая'!K:K=C20,'Нормативные показатели (рабочая'!L:L=H20,'Нормативные показатели (рабочая'!N:N=""на ОРП"",'Нормативные показатели (рабочая'!M:M=""max"")&lt;O20,(O20-FILTER"&amp;"('Нормативные показатели (рабочая'!O:O,'Нормативные показатели (рабочая'!K:K=C20,'Нормативные показатели (рабочая'!L:L=H20,'Нормативные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(рабочая'!K:K=C20,'Нормативные показатели (рабочая'!L:L=H20,'Нормативные показатели (рабочая'!N:N=""на ОРП"",'Нормативные показатели (рабочая'!M:M=""max"")))"),"нет нормы")</f>
        <v>нет нормы</v>
      </c>
      <c r="R20" s="45">
        <f t="shared" si="2"/>
        <v>0.3232100441</v>
      </c>
      <c r="S20" s="46" t="str">
        <f>IFERROR(__xludf.DUMMYFUNCTION("IFERROR(IF(F20&lt;26,join("" - "",FILTER('Нормативные показатели (рабочая'!$O:$O,'Нормативные показатели (рабочая'!$K:$K=$C20,'Нормативные показатели (рабочая'!$L:$L=$H20,'Нормативные показатели (рабочая'!$N:$N=""на S плиты"")),""нет нормы""))"),"н - н")</f>
        <v>н - н</v>
      </c>
      <c r="T20" s="48" t="str">
        <f>IFERROR(__xludf.DUMMYFUNCTION("IFS(F20&gt;26,""нет нормы"",C20="""","""",C20&lt;&gt;""МКД"",""нет нормы"",H20&lt;&gt;""Типовой"",""нет нормы"", AND(F20&lt;26,C20=""МКД""),ifs(FILTER('Нормативные показатели (рабочая'!O:O,'Нормативные показатели (рабочая'!K:K=C20,'Нормативные показатели (рабочая'!L:L=H20,"&amp;"'Нормативные показатели (рабочая'!N:N=""на S плиты"",'Нормативные показатели (рабочая'!M:M=""min"")&gt;R20,(-1) *(FILTER('Нормативные показатели (рабочая'!O:O,'Нормативные показатели (рабочая'!K:K=C20,'Нормативные показатели (рабочая'!L:L=H20,'Нормативные по"&amp;"казатели (рабочая'!N:N=""на S плиты"",'Нормативные показатели (рабочая'!M:M=""min"")-R20)/FILTER('Нормативные показатели (рабочая'!O:O,'Нормативные показатели (рабочая'!K:K=C20,'Нормативные показатели (рабочая'!L:L=H20,'Нормативные показатели (рабочая'!N:"&amp;"N=""на S плиты"",'Нормативные показатели (рабочая'!M:M=""min""),AND(R20&gt;=FILTER('Нормативные показатели (рабочая'!O:O,'Нормативные показатели (рабочая'!K:K=C20,'Нормативные показатели (рабочая'!L:L=H20,'Нормативные показатели (рабочая'!N:N=""на S плиты"","&amp;"'Нормативные показатели (рабочая'!M:M=""min""),R20&lt;=FILTER('Нормативные показатели (рабочая'!O:O,'Нормативные показатели (рабочая'!K:K=C20,'Нормативные показатели (рабочая'!L:L=H20,'Нормативные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(рабочая'!K:K=C20,'Нормативные показатели (рабочая'!L:L=H20,'Нормативные показатели (рабочая'!N:N=""на S плиты"",'Нормативные показатели (рабочая'!M:M="&amp;"""max"")&lt;R20,(R20-FILTER('Нормативные показатели (рабочая'!O:O,'Нормативные показатели (рабочая'!K:K=C20,'Нормативные показатели (рабочая'!L:L=H20,'Нормативные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(рабочая'!K:K=C20,'Нормативные показатели (рабочая'!L:L=H20,'Нормативные показатели (рабочая'!N:N=""на S плиты"",'Нормативные показатели (рабочая'!M:M=""max"")))"),"нет нормы")</f>
        <v>нет нормы</v>
      </c>
      <c r="U20" s="20" t="s">
        <v>29</v>
      </c>
      <c r="V20" s="18" t="s">
        <v>153</v>
      </c>
      <c r="W20" s="25"/>
    </row>
    <row r="21" ht="15.75" customHeight="1">
      <c r="A21" s="16" t="s">
        <v>155</v>
      </c>
      <c r="B21" s="16" t="s">
        <v>165</v>
      </c>
      <c r="C21" s="16" t="s">
        <v>166</v>
      </c>
      <c r="D21" s="29"/>
      <c r="E21" s="44" t="s">
        <v>29</v>
      </c>
      <c r="F21" s="18">
        <v>7.0</v>
      </c>
      <c r="G21" s="16" t="s">
        <v>157</v>
      </c>
      <c r="H21" s="20" t="s">
        <v>152</v>
      </c>
      <c r="I21" s="20" t="s">
        <v>27</v>
      </c>
      <c r="J21" s="21">
        <v>45121.0</v>
      </c>
      <c r="K21" s="18">
        <v>30.0</v>
      </c>
      <c r="L21" s="18">
        <v>622.5</v>
      </c>
      <c r="M21" s="18">
        <v>0.0</v>
      </c>
      <c r="N21" s="18">
        <v>1977.8</v>
      </c>
      <c r="O21" s="45" t="str">
        <f t="shared" si="3"/>
        <v>н-н</v>
      </c>
      <c r="P21" s="46" t="str">
        <f>IFERROR(__xludf.DUMMYFUNCTION("IFERROR(IF(F21&lt;26, (join("" - "",FILTER('Нормативные показатели (рабочая'!$O:$O,'Нормативные показатели (рабочая'!$K:$K=$C21,'Нормативные показатели (рабочая'!$L:$L=$H21,'Нормативные показатели (рабочая'!$N:$N=""на ОРП""))),""нет нормы""))"),"н - н")</f>
        <v>н - н</v>
      </c>
      <c r="Q21" s="47" t="str">
        <f>IFERROR(__xludf.DUMMYFUNCTION("IFS(F21&gt;26,""нет нормы"",C21="""","""",C21&lt;&gt;""МКД"",""нет нормы"",H21&lt;&gt;""Типовой"",""нет нормы"", AND(F21&lt;26,C21=""МКД""),ifs(FILTER('Нормативные показатели (рабочая'!O:O,'Нормативные показатели (рабочая'!K:K=C21,'Нормативные показатели (рабочая'!L:L=H21,"&amp;"'Нормативные показатели (рабочая'!N:N=""на ОРП"",'Нормативные показатели (рабочая'!M:M=""min"")&gt;O21,(-1) *(FILTER('Нормативные показатели (рабочая'!O:O,'Нормативные показатели (рабочая'!K:K=C21,'Нормативные показатели (рабочая'!L:L=H21,'Нормативные показа"&amp;"тели (рабочая'!N:N=""на ОРП"",'Нормативные показатели (рабочая'!M:M=""min"")-O21)/FILTER('Нормативные показатели (рабочая'!O:O,'Нормативные показатели (рабочая'!K:K=C21,'Нормативные показатели (рабочая'!L:L=H21,'Нормативные показатели (рабочая'!N:N=""на О"&amp;"РП"",'Нормативные показатели (рабочая'!M:M=""min""),AND(O21&gt;=FILTER('Нормативные показатели (рабочая'!O:O,'Нормативные показатели (рабочая'!K:K=C21,'Нормативные показатели (рабочая'!L:L=H21,'Нормативные показатели (рабочая'!N:N=""на ОРП"",'Нормативные пок"&amp;"азатели (рабочая'!M:M=""min""),O21&lt;=FILTER('Нормативные показатели (рабочая'!O:O,'Нормативные показатели (рабочая'!K:K=C21,'Нормативные показатели (рабочая'!L:L=H21,'Нормативные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(рабочая'!K:K=C21,'Нормативные показатели (рабочая'!L:L=H21,'Нормативные показатели (рабочая'!N:N=""на ОРП"",'Нормативные показатели (рабочая'!M:M=""max"")&lt;O21,(O21-FILTER"&amp;"('Нормативные показатели (рабочая'!O:O,'Нормативные показатели (рабочая'!K:K=C21,'Нормативные показатели (рабочая'!L:L=H21,'Нормативные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(рабочая'!K:K=C21,'Нормативные показатели (рабочая'!L:L=H21,'Нормативные показатели (рабочая'!N:N=""на ОРП"",'Нормативные показатели (рабочая'!M:M=""max"")))"),"нет нормы")</f>
        <v>нет нормы</v>
      </c>
      <c r="R21" s="45">
        <f t="shared" si="2"/>
        <v>0.3147436546</v>
      </c>
      <c r="S21" s="46" t="str">
        <f>IFERROR(__xludf.DUMMYFUNCTION("IFERROR(IF(F21&lt;26,join("" - "",FILTER('Нормативные показатели (рабочая'!$O:$O,'Нормативные показатели (рабочая'!$K:$K=$C21,'Нормативные показатели (рабочая'!$L:$L=$H21,'Нормативные показатели (рабочая'!$N:$N=""на S плиты"")),""нет нормы""))"),"н - н")</f>
        <v>н - н</v>
      </c>
      <c r="T21" s="48" t="str">
        <f>IFERROR(__xludf.DUMMYFUNCTION("IFS(F21&gt;26,""нет нормы"",C21="""","""",C21&lt;&gt;""МКД"",""нет нормы"",H21&lt;&gt;""Типовой"",""нет нормы"", AND(F21&lt;26,C21=""МКД""),ifs(FILTER('Нормативные показатели (рабочая'!O:O,'Нормативные показатели (рабочая'!K:K=C21,'Нормативные показатели (рабочая'!L:L=H21,"&amp;"'Нормативные показатели (рабочая'!N:N=""на S плиты"",'Нормативные показатели (рабочая'!M:M=""min"")&gt;R21,(-1) *(FILTER('Нормативные показатели (рабочая'!O:O,'Нормативные показатели (рабочая'!K:K=C21,'Нормативные показатели (рабочая'!L:L=H21,'Нормативные по"&amp;"казатели (рабочая'!N:N=""на S плиты"",'Нормативные показатели (рабочая'!M:M=""min"")-R21)/FILTER('Нормативные показатели (рабочая'!O:O,'Нормативные показатели (рабочая'!K:K=C21,'Нормативные показатели (рабочая'!L:L=H21,'Нормативные показатели (рабочая'!N:"&amp;"N=""на S плиты"",'Нормативные показатели (рабочая'!M:M=""min""),AND(R21&gt;=FILTER('Нормативные показатели (рабочая'!O:O,'Нормативные показатели (рабочая'!K:K=C21,'Нормативные показатели (рабочая'!L:L=H21,'Нормативные показатели (рабочая'!N:N=""на S плиты"","&amp;"'Нормативные показатели (рабочая'!M:M=""min""),R21&lt;=FILTER('Нормативные показатели (рабочая'!O:O,'Нормативные показатели (рабочая'!K:K=C21,'Нормативные показатели (рабочая'!L:L=H21,'Нормативные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(рабочая'!K:K=C21,'Нормативные показатели (рабочая'!L:L=H21,'Нормативные показатели (рабочая'!N:N=""на S плиты"",'Нормативные показатели (рабочая'!M:M="&amp;"""max"")&lt;R21,(R21-FILTER('Нормативные показатели (рабочая'!O:O,'Нормативные показатели (рабочая'!K:K=C21,'Нормативные показатели (рабочая'!L:L=H21,'Нормативные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(рабочая'!K:K=C21,'Нормативные показатели (рабочая'!L:L=H21,'Нормативные показатели (рабочая'!N:N=""на S плиты"",'Нормативные показатели (рабочая'!M:M=""max"")))"),"нет нормы")</f>
        <v>нет нормы</v>
      </c>
      <c r="U21" s="20" t="s">
        <v>29</v>
      </c>
      <c r="V21" s="18" t="s">
        <v>153</v>
      </c>
      <c r="W21" s="25"/>
    </row>
    <row r="22" ht="15.75" customHeight="1">
      <c r="A22" s="16" t="s">
        <v>23</v>
      </c>
      <c r="B22" s="16" t="s">
        <v>46</v>
      </c>
      <c r="C22" s="16" t="s">
        <v>25</v>
      </c>
      <c r="D22" s="16" t="s">
        <v>158</v>
      </c>
      <c r="E22" s="44" t="s">
        <v>29</v>
      </c>
      <c r="F22" s="16">
        <v>15.0</v>
      </c>
      <c r="G22" s="16" t="s">
        <v>154</v>
      </c>
      <c r="H22" s="20" t="s">
        <v>152</v>
      </c>
      <c r="I22" s="20" t="s">
        <v>27</v>
      </c>
      <c r="J22" s="50">
        <v>45124.0</v>
      </c>
      <c r="K22" s="16">
        <v>30.0</v>
      </c>
      <c r="L22" s="16">
        <v>133.5</v>
      </c>
      <c r="M22" s="16">
        <v>340.46</v>
      </c>
      <c r="N22" s="16">
        <v>458.0</v>
      </c>
      <c r="O22" s="45">
        <f t="shared" si="3"/>
        <v>0.3921165482</v>
      </c>
      <c r="P22" s="46" t="str">
        <f>IFERROR(__xludf.DUMMYFUNCTION("IFERROR(IF(F22&lt;26, (join("" - "",FILTER('Нормативные показатели (рабочая'!$O:$O,'Нормативные показатели (рабочая'!$K:$K=$C22,'Нормативные показатели (рабочая'!$L:$L=$H22,'Нормативные показатели (рабочая'!$N:$N=""на ОРП""))),""нет нормы""))"),"0,35 - 0,45")</f>
        <v>0,35 - 0,45</v>
      </c>
      <c r="Q22" s="47" t="str">
        <f>IFERROR(__xludf.DUMMYFUNCTION("IFS(F22&gt;26,""нет нормы"",C22="""","""",C22&lt;&gt;""МКД"",""нет нормы"",H22&lt;&gt;""Типовой"",""нет нормы"", AND(F22&lt;26,C22=""МКД""),ifs(FILTER('Нормативные показатели (рабочая'!O:O,'Нормативные показатели (рабочая'!K:K=C22,'Нормативные показатели (рабочая'!L:L=H22,"&amp;"'Нормативные показатели (рабочая'!N:N=""на ОРП"",'Нормативные показатели (рабочая'!M:M=""min"")&gt;O22,(-1) *(FILTER('Нормативные показатели (рабочая'!O:O,'Нормативные показатели (рабочая'!K:K=C22,'Нормативные показатели (рабочая'!L:L=H22,'Нормативные показа"&amp;"тели (рабочая'!N:N=""на ОРП"",'Нормативные показатели (рабочая'!M:M=""min"")-O22)/FILTER('Нормативные показатели (рабочая'!O:O,'Нормативные показатели (рабочая'!K:K=C22,'Нормативные показатели (рабочая'!L:L=H22,'Нормативные показатели (рабочая'!N:N=""на О"&amp;"РП"",'Нормативные показатели (рабочая'!M:M=""min""),AND(O22&gt;=FILTER('Нормативные показатели (рабочая'!O:O,'Нормативные показатели (рабочая'!K:K=C22,'Нормативные показатели (рабочая'!L:L=H22,'Нормативные показатели (рабочая'!N:N=""на ОРП"",'Нормативные пок"&amp;"азатели (рабочая'!M:M=""min""),O22&lt;=FILTER('Нормативные показатели (рабочая'!O:O,'Нормативные показатели (рабочая'!K:K=C22,'Нормативные показатели (рабочая'!L:L=H22,'Нормативные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(рабочая'!K:K=C22,'Нормативные показатели (рабочая'!L:L=H22,'Нормативные показатели (рабочая'!N:N=""на ОРП"",'Нормативные показатели (рабочая'!M:M=""max"")&lt;O22,(O22-FILTER"&amp;"('Нормативные показатели (рабочая'!O:O,'Нормативные показатели (рабочая'!K:K=C22,'Нормативные показатели (рабочая'!L:L=H22,'Нормативные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(рабочая'!K:K=C22,'Нормативные показатели (рабочая'!L:L=H22,'Нормативные показатели (рабочая'!N:N=""на ОРП"",'Нормативные показатели (рабочая'!M:M=""max"")))"),"нет")</f>
        <v>нет</v>
      </c>
      <c r="R22" s="45">
        <f t="shared" si="2"/>
        <v>0.2914847162</v>
      </c>
      <c r="S22" s="46" t="str">
        <f>IFERROR(__xludf.DUMMYFUNCTION("IFERROR(IF(F22&lt;26,join("" - "",FILTER('Нормативные показатели (рабочая'!$O:$O,'Нормативные показатели (рабочая'!$K:$K=$C22,'Нормативные показатели (рабочая'!$L:$L=$H22,'Нормативные показатели (рабочая'!$N:$N=""на S плиты"")),""нет нормы""))"),"0,22 - 0,3")</f>
        <v>0,22 - 0,3</v>
      </c>
      <c r="T22" s="48" t="str">
        <f>IFERROR(__xludf.DUMMYFUNCTION("IFS(F22&gt;26,""нет нормы"",C22="""","""",C22&lt;&gt;""МКД"",""нет нормы"",H22&lt;&gt;""Типовой"",""нет нормы"", AND(F22&lt;26,C22=""МКД""),ifs(FILTER('Нормативные показатели (рабочая'!O:O,'Нормативные показатели (рабочая'!K:K=C22,'Нормативные показатели (рабочая'!L:L=H22,"&amp;"'Нормативные показатели (рабочая'!N:N=""на S плиты"",'Нормативные показатели (рабочая'!M:M=""min"")&gt;R22,(-1) *(FILTER('Нормативные показатели (рабочая'!O:O,'Нормативные показатели (рабочая'!K:K=C22,'Нормативные показатели (рабочая'!L:L=H22,'Нормативные по"&amp;"казатели (рабочая'!N:N=""на S плиты"",'Нормативные показатели (рабочая'!M:M=""min"")-R22)/FILTER('Нормативные показатели (рабочая'!O:O,'Нормативные показатели (рабочая'!K:K=C22,'Нормативные показатели (рабочая'!L:L=H22,'Нормативные показатели (рабочая'!N:"&amp;"N=""на S плиты"",'Нормативные показатели (рабочая'!M:M=""min""),AND(R22&gt;=FILTER('Нормативные показатели (рабочая'!O:O,'Нормативные показатели (рабочая'!K:K=C22,'Нормативные показатели (рабочая'!L:L=H22,'Нормативные показатели (рабочая'!N:N=""на S плиты"","&amp;"'Нормативные показатели (рабочая'!M:M=""min""),R22&lt;=FILTER('Нормативные показатели (рабочая'!O:O,'Нормативные показатели (рабочая'!K:K=C22,'Нормативные показатели (рабочая'!L:L=H22,'Нормативные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(рабочая'!K:K=C22,'Нормативные показатели (рабочая'!L:L=H22,'Нормативные показатели (рабочая'!N:N=""на S плиты"",'Нормативные показатели (рабочая'!M:M="&amp;"""max"")&lt;R22,(R22-FILTER('Нормативные показатели (рабочая'!O:O,'Нормативные показатели (рабочая'!K:K=C22,'Нормативные показатели (рабочая'!L:L=H22,'Нормативные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(рабочая'!K:K=C22,'Нормативные показатели (рабочая'!L:L=H22,'Нормативные показатели (рабочая'!N:N=""на S плиты"",'Нормативные показатели (рабочая'!M:M=""max"")))"),"нет")</f>
        <v>нет</v>
      </c>
      <c r="U22" s="20" t="s">
        <v>29</v>
      </c>
      <c r="V22" s="18" t="s">
        <v>153</v>
      </c>
      <c r="W22" s="25"/>
    </row>
    <row r="23" ht="15.75" customHeight="1">
      <c r="A23" s="16" t="s">
        <v>23</v>
      </c>
      <c r="B23" s="16" t="s">
        <v>46</v>
      </c>
      <c r="C23" s="16" t="s">
        <v>25</v>
      </c>
      <c r="D23" s="16" t="s">
        <v>43</v>
      </c>
      <c r="E23" s="44" t="s">
        <v>29</v>
      </c>
      <c r="F23" s="16">
        <v>32.0</v>
      </c>
      <c r="G23" s="16" t="s">
        <v>154</v>
      </c>
      <c r="H23" s="20" t="s">
        <v>152</v>
      </c>
      <c r="I23" s="20" t="s">
        <v>27</v>
      </c>
      <c r="J23" s="50">
        <v>45127.0</v>
      </c>
      <c r="K23" s="16">
        <v>35.0</v>
      </c>
      <c r="L23" s="16">
        <v>231.0</v>
      </c>
      <c r="M23" s="16">
        <v>517.0</v>
      </c>
      <c r="N23" s="16">
        <v>716.7</v>
      </c>
      <c r="O23" s="45">
        <f t="shared" si="3"/>
        <v>0.4468085106</v>
      </c>
      <c r="P23" s="46" t="str">
        <f>IFERROR(__xludf.DUMMYFUNCTION("IFERROR(IF(F23&lt;26, (join("" - "",FILTER('Нормативные показатели (рабочая'!$O:$O,'Нормативные показатели (рабочая'!$K:$K=$C23,'Нормативные показатели (рабочая'!$L:$L=$H23,'Нормативные показатели (рабочая'!$N:$N=""на ОРП""))),""нет нормы""))"),"нет нормы")</f>
        <v>нет нормы</v>
      </c>
      <c r="Q23" s="47" t="str">
        <f>IFERROR(__xludf.DUMMYFUNCTION("IFS(F23&gt;26,""нет нормы"",C23="""","""",C23&lt;&gt;""МКД"",""нет нормы"",H23&lt;&gt;""Типовой"",""нет нормы"", AND(F23&lt;26,C23=""МКД""),ifs(FILTER('Нормативные показатели (рабочая'!O:O,'Нормативные показатели (рабочая'!K:K=C23,'Нормативные показатели (рабочая'!L:L=H23,"&amp;"'Нормативные показатели (рабочая'!N:N=""на ОРП"",'Нормативные показатели (рабочая'!M:M=""min"")&gt;O23,(-1) *(FILTER('Нормативные показатели (рабочая'!O:O,'Нормативные показатели (рабочая'!K:K=C23,'Нормативные показатели (рабочая'!L:L=H23,'Нормативные показа"&amp;"тели (рабочая'!N:N=""на ОРП"",'Нормативные показатели (рабочая'!M:M=""min"")-O23)/FILTER('Нормативные показатели (рабочая'!O:O,'Нормативные показатели (рабочая'!K:K=C23,'Нормативные показатели (рабочая'!L:L=H23,'Нормативные показатели (рабочая'!N:N=""на О"&amp;"РП"",'Нормативные показатели (рабочая'!M:M=""min""),AND(O23&gt;=FILTER('Нормативные показатели (рабочая'!O:O,'Нормативные показатели (рабочая'!K:K=C23,'Нормативные показатели (рабочая'!L:L=H23,'Нормативные показатели (рабочая'!N:N=""на ОРП"",'Нормативные пок"&amp;"азатели (рабочая'!M:M=""min""),O23&lt;=FILTER('Нормативные показатели (рабочая'!O:O,'Нормативные показатели (рабочая'!K:K=C23,'Нормативные показатели (рабочая'!L:L=H23,'Нормативные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(рабочая'!K:K=C23,'Нормативные показатели (рабочая'!L:L=H23,'Нормативные показатели (рабочая'!N:N=""на ОРП"",'Нормативные показатели (рабочая'!M:M=""max"")&lt;O23,(O23-FILTER"&amp;"('Нормативные показатели (рабочая'!O:O,'Нормативные показатели (рабочая'!K:K=C23,'Нормативные показатели (рабочая'!L:L=H23,'Нормативные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(рабочая'!K:K=C23,'Нормативные показатели (рабочая'!L:L=H23,'Нормативные показатели (рабочая'!N:N=""на ОРП"",'Нормативные показатели (рабочая'!M:M=""max"")))"),"нет нормы")</f>
        <v>нет нормы</v>
      </c>
      <c r="R23" s="45">
        <f t="shared" si="2"/>
        <v>0.3223105902</v>
      </c>
      <c r="S23" s="46" t="str">
        <f>IFERROR(__xludf.DUMMYFUNCTION("IFERROR(IF(F23&lt;26,join("" - "",FILTER('Нормативные показатели (рабочая'!$O:$O,'Нормативные показатели (рабочая'!$K:$K=$C23,'Нормативные показатели (рабочая'!$L:$L=$H23,'Нормативные показатели (рабочая'!$N:$N=""на S плиты"")),""нет нормы""))"),"нет нормы")</f>
        <v>нет нормы</v>
      </c>
      <c r="T23" s="48" t="str">
        <f>IFERROR(__xludf.DUMMYFUNCTION("IFS(F23&gt;26,""нет нормы"",C23="""","""",C23&lt;&gt;""МКД"",""нет нормы"",H23&lt;&gt;""Типовой"",""нет нормы"", AND(F23&lt;26,C23=""МКД""),ifs(FILTER('Нормативные показатели (рабочая'!O:O,'Нормативные показатели (рабочая'!K:K=C23,'Нормативные показатели (рабочая'!L:L=H23,"&amp;"'Нормативные показатели (рабочая'!N:N=""на S плиты"",'Нормативные показатели (рабочая'!M:M=""min"")&gt;R23,(-1) *(FILTER('Нормативные показатели (рабочая'!O:O,'Нормативные показатели (рабочая'!K:K=C23,'Нормативные показатели (рабочая'!L:L=H23,'Нормативные по"&amp;"казатели (рабочая'!N:N=""на S плиты"",'Нормативные показатели (рабочая'!M:M=""min"")-R23)/FILTER('Нормативные показатели (рабочая'!O:O,'Нормативные показатели (рабочая'!K:K=C23,'Нормативные показатели (рабочая'!L:L=H23,'Нормативные показатели (рабочая'!N:"&amp;"N=""на S плиты"",'Нормативные показатели (рабочая'!M:M=""min""),AND(R23&gt;=FILTER('Нормативные показатели (рабочая'!O:O,'Нормативные показатели (рабочая'!K:K=C23,'Нормативные показатели (рабочая'!L:L=H23,'Нормативные показатели (рабочая'!N:N=""на S плиты"","&amp;"'Нормативные показатели (рабочая'!M:M=""min""),R23&lt;=FILTER('Нормативные показатели (рабочая'!O:O,'Нормативные показатели (рабочая'!K:K=C23,'Нормативные показатели (рабочая'!L:L=H23,'Нормативные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(рабочая'!K:K=C23,'Нормативные показатели (рабочая'!L:L=H23,'Нормативные показатели (рабочая'!N:N=""на S плиты"",'Нормативные показатели (рабочая'!M:M="&amp;"""max"")&lt;R23,(R23-FILTER('Нормативные показатели (рабочая'!O:O,'Нормативные показатели (рабочая'!K:K=C23,'Нормативные показатели (рабочая'!L:L=H23,'Нормативные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(рабочая'!K:K=C23,'Нормативные показатели (рабочая'!L:L=H23,'Нормативные показатели (рабочая'!N:N=""на S плиты"",'Нормативные показатели (рабочая'!M:M=""max"")))"),"нет нормы")</f>
        <v>нет нормы</v>
      </c>
      <c r="U23" s="20" t="s">
        <v>29</v>
      </c>
      <c r="V23" s="18" t="s">
        <v>153</v>
      </c>
      <c r="W23" s="25"/>
    </row>
    <row r="24" ht="15.75" customHeight="1">
      <c r="A24" s="16" t="s">
        <v>23</v>
      </c>
      <c r="B24" s="16" t="s">
        <v>167</v>
      </c>
      <c r="C24" s="16" t="s">
        <v>25</v>
      </c>
      <c r="D24" s="16" t="s">
        <v>168</v>
      </c>
      <c r="E24" s="44" t="s">
        <v>29</v>
      </c>
      <c r="F24" s="16">
        <v>13.0</v>
      </c>
      <c r="G24" s="16" t="s">
        <v>157</v>
      </c>
      <c r="H24" s="20" t="s">
        <v>152</v>
      </c>
      <c r="I24" s="20" t="s">
        <v>27</v>
      </c>
      <c r="J24" s="50">
        <v>45135.0</v>
      </c>
      <c r="K24" s="16">
        <v>25.0</v>
      </c>
      <c r="L24" s="16">
        <v>99.1</v>
      </c>
      <c r="M24" s="16">
        <v>276.8</v>
      </c>
      <c r="N24" s="16">
        <v>395.8</v>
      </c>
      <c r="O24" s="45">
        <f t="shared" si="3"/>
        <v>0.3580202312</v>
      </c>
      <c r="P24" s="46" t="str">
        <f>IFERROR(__xludf.DUMMYFUNCTION("IFERROR(IF(F24&lt;26, (join("" - "",FILTER('Нормативные показатели (рабочая'!$O:$O,'Нормативные показатели (рабочая'!$K:$K=$C24,'Нормативные показатели (рабочая'!$L:$L=$H24,'Нормативные показатели (рабочая'!$N:$N=""на ОРП""))),""нет нормы""))"),"0,35 - 0,45")</f>
        <v>0,35 - 0,45</v>
      </c>
      <c r="Q24" s="47" t="str">
        <f>IFERROR(__xludf.DUMMYFUNCTION("IFS(F24&gt;26,""нет нормы"",C24="""","""",C24&lt;&gt;""МКД"",""нет нормы"",H24&lt;&gt;""Типовой"",""нет нормы"", AND(F24&lt;26,C24=""МКД""),ifs(FILTER('Нормативные показатели (рабочая'!O:O,'Нормативные показатели (рабочая'!K:K=C24,'Нормативные показатели (рабочая'!L:L=H24,"&amp;"'Нормативные показатели (рабочая'!N:N=""на ОРП"",'Нормативные показатели (рабочая'!M:M=""min"")&gt;O24,(-1) *(FILTER('Нормативные показатели (рабочая'!O:O,'Нормативные показатели (рабочая'!K:K=C24,'Нормативные показатели (рабочая'!L:L=H24,'Нормативные показа"&amp;"тели (рабочая'!N:N=""на ОРП"",'Нормативные показатели (рабочая'!M:M=""min"")-O24)/FILTER('Нормативные показатели (рабочая'!O:O,'Нормативные показатели (рабочая'!K:K=C24,'Нормативные показатели (рабочая'!L:L=H24,'Нормативные показатели (рабочая'!N:N=""на О"&amp;"РП"",'Нормативные показатели (рабочая'!M:M=""min""),AND(O24&gt;=FILTER('Нормативные показатели (рабочая'!O:O,'Нормативные показатели (рабочая'!K:K=C24,'Нормативные показатели (рабочая'!L:L=H24,'Нормативные показатели (рабочая'!N:N=""на ОРП"",'Нормативные пок"&amp;"азатели (рабочая'!M:M=""min""),O24&lt;=FILTER('Нормативные показатели (рабочая'!O:O,'Нормативные показатели (рабочая'!K:K=C24,'Нормативные показатели (рабочая'!L:L=H24,'Нормативные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(рабочая'!K:K=C24,'Нормативные показатели (рабочая'!L:L=H24,'Нормативные показатели (рабочая'!N:N=""на ОРП"",'Нормативные показатели (рабочая'!M:M=""max"")&lt;O24,(O24-FILTER"&amp;"('Нормативные показатели (рабочая'!O:O,'Нормативные показатели (рабочая'!K:K=C24,'Нормативные показатели (рабочая'!L:L=H24,'Нормативные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(рабочая'!K:K=C24,'Нормативные показатели (рабочая'!L:L=H24,'Нормативные показатели (рабочая'!N:N=""на ОРП"",'Нормативные показатели (рабочая'!M:M=""max"")))"),"нет")</f>
        <v>нет</v>
      </c>
      <c r="R24" s="45">
        <f t="shared" si="2"/>
        <v>0.2503789793</v>
      </c>
      <c r="S24" s="46" t="str">
        <f>IFERROR(__xludf.DUMMYFUNCTION("IFERROR(IF(F24&lt;26,join("" - "",FILTER('Нормативные показатели (рабочая'!$O:$O,'Нормативные показатели (рабочая'!$K:$K=$C24,'Нормативные показатели (рабочая'!$L:$L=$H24,'Нормативные показатели (рабочая'!$N:$N=""на S плиты"")),""нет нормы""))"),"0,22 - 0,3")</f>
        <v>0,22 - 0,3</v>
      </c>
      <c r="T24" s="48" t="str">
        <f>IFERROR(__xludf.DUMMYFUNCTION("IFS(F24&gt;26,""нет нормы"",C24="""","""",C24&lt;&gt;""МКД"",""нет нормы"",H24&lt;&gt;""Типовой"",""нет нормы"", AND(F24&lt;26,C24=""МКД""),ifs(FILTER('Нормативные показатели (рабочая'!O:O,'Нормативные показатели (рабочая'!K:K=C24,'Нормативные показатели (рабочая'!L:L=H24,"&amp;"'Нормативные показатели (рабочая'!N:N=""на S плиты"",'Нормативные показатели (рабочая'!M:M=""min"")&gt;R24,(-1) *(FILTER('Нормативные показатели (рабочая'!O:O,'Нормативные показатели (рабочая'!K:K=C24,'Нормативные показатели (рабочая'!L:L=H24,'Нормативные по"&amp;"казатели (рабочая'!N:N=""на S плиты"",'Нормативные показатели (рабочая'!M:M=""min"")-R24)/FILTER('Нормативные показатели (рабочая'!O:O,'Нормативные показатели (рабочая'!K:K=C24,'Нормативные показатели (рабочая'!L:L=H24,'Нормативные показатели (рабочая'!N:"&amp;"N=""на S плиты"",'Нормативные показатели (рабочая'!M:M=""min""),AND(R24&gt;=FILTER('Нормативные показатели (рабочая'!O:O,'Нормативные показатели (рабочая'!K:K=C24,'Нормативные показатели (рабочая'!L:L=H24,'Нормативные показатели (рабочая'!N:N=""на S плиты"","&amp;"'Нормативные показатели (рабочая'!M:M=""min""),R24&lt;=FILTER('Нормативные показатели (рабочая'!O:O,'Нормативные показатели (рабочая'!K:K=C24,'Нормативные показатели (рабочая'!L:L=H24,'Нормативные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(рабочая'!K:K=C24,'Нормативные показатели (рабочая'!L:L=H24,'Нормативные показатели (рабочая'!N:N=""на S плиты"",'Нормативные показатели (рабочая'!M:M="&amp;"""max"")&lt;R24,(R24-FILTER('Нормативные показатели (рабочая'!O:O,'Нормативные показатели (рабочая'!K:K=C24,'Нормативные показатели (рабочая'!L:L=H24,'Нормативные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(рабочая'!K:K=C24,'Нормативные показатели (рабочая'!L:L=H24,'Нормативные показатели (рабочая'!N:N=""на S плиты"",'Нормативные показатели (рабочая'!M:M=""max"")))"),"нет")</f>
        <v>нет</v>
      </c>
      <c r="U24" s="20" t="s">
        <v>29</v>
      </c>
      <c r="V24" s="18" t="s">
        <v>153</v>
      </c>
      <c r="W24" s="25"/>
    </row>
    <row r="25" ht="15.75" customHeight="1">
      <c r="A25" s="16" t="s">
        <v>23</v>
      </c>
      <c r="B25" s="16" t="s">
        <v>167</v>
      </c>
      <c r="C25" s="16" t="s">
        <v>25</v>
      </c>
      <c r="D25" s="16" t="s">
        <v>43</v>
      </c>
      <c r="E25" s="44" t="s">
        <v>29</v>
      </c>
      <c r="F25" s="16">
        <v>16.0</v>
      </c>
      <c r="G25" s="16" t="s">
        <v>157</v>
      </c>
      <c r="H25" s="20" t="s">
        <v>152</v>
      </c>
      <c r="I25" s="20" t="s">
        <v>27</v>
      </c>
      <c r="J25" s="50">
        <v>45135.0</v>
      </c>
      <c r="K25" s="16">
        <v>25.0</v>
      </c>
      <c r="L25" s="16">
        <v>164.9</v>
      </c>
      <c r="M25" s="16">
        <v>466.4</v>
      </c>
      <c r="N25" s="16">
        <v>666.5</v>
      </c>
      <c r="O25" s="45">
        <f t="shared" si="3"/>
        <v>0.3535591767</v>
      </c>
      <c r="P25" s="46" t="str">
        <f>IFERROR(__xludf.DUMMYFUNCTION("IFERROR(IF(F25&lt;26, (join("" - "",FILTER('Нормативные показатели (рабочая'!$O:$O,'Нормативные показатели (рабочая'!$K:$K=$C25,'Нормативные показатели (рабочая'!$L:$L=$H25,'Нормативные показатели (рабочая'!$N:$N=""на ОРП""))),""нет нормы""))"),"0,35 - 0,45")</f>
        <v>0,35 - 0,45</v>
      </c>
      <c r="Q25" s="47" t="str">
        <f>IFERROR(__xludf.DUMMYFUNCTION("IFS(F25&gt;26,""нет нормы"",C25="""","""",C25&lt;&gt;""МКД"",""нет нормы"",H25&lt;&gt;""Типовой"",""нет нормы"", AND(F25&lt;26,C25=""МКД""),ifs(FILTER('Нормативные показатели (рабочая'!O:O,'Нормативные показатели (рабочая'!K:K=C25,'Нормативные показатели (рабочая'!L:L=H25,"&amp;"'Нормативные показатели (рабочая'!N:N=""на ОРП"",'Нормативные показатели (рабочая'!M:M=""min"")&gt;O25,(-1) *(FILTER('Нормативные показатели (рабочая'!O:O,'Нормативные показатели (рабочая'!K:K=C25,'Нормативные показатели (рабочая'!L:L=H25,'Нормативные показа"&amp;"тели (рабочая'!N:N=""на ОРП"",'Нормативные показатели (рабочая'!M:M=""min"")-O25)/FILTER('Нормативные показатели (рабочая'!O:O,'Нормативные показатели (рабочая'!K:K=C25,'Нормативные показатели (рабочая'!L:L=H25,'Нормативные показатели (рабочая'!N:N=""на О"&amp;"РП"",'Нормативные показатели (рабочая'!M:M=""min""),AND(O25&gt;=FILTER('Нормативные показатели (рабочая'!O:O,'Нормативные показатели (рабочая'!K:K=C25,'Нормативные показатели (рабочая'!L:L=H25,'Нормативные показатели (рабочая'!N:N=""на ОРП"",'Нормативные пок"&amp;"азатели (рабочая'!M:M=""min""),O25&lt;=FILTER('Нормативные показатели (рабочая'!O:O,'Нормативные показатели (рабочая'!K:K=C25,'Нормативные показатели (рабочая'!L:L=H25,'Нормативные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(рабочая'!K:K=C25,'Нормативные показатели (рабочая'!L:L=H25,'Нормативные показатели (рабочая'!N:N=""на ОРП"",'Нормативные показатели (рабочая'!M:M=""max"")&lt;O25,(O25-FILTER"&amp;"('Нормативные показатели (рабочая'!O:O,'Нормативные показатели (рабочая'!K:K=C25,'Нормативные показатели (рабочая'!L:L=H25,'Нормативные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(рабочая'!K:K=C25,'Нормативные показатели (рабочая'!L:L=H25,'Нормативные показатели (рабочая'!N:N=""на ОРП"",'Нормативные показатели (рабочая'!M:M=""max"")))"),"нет")</f>
        <v>нет</v>
      </c>
      <c r="R25" s="45">
        <f t="shared" si="2"/>
        <v>0.247411853</v>
      </c>
      <c r="S25" s="46" t="str">
        <f>IFERROR(__xludf.DUMMYFUNCTION("IFERROR(IF(F25&lt;26,join("" - "",FILTER('Нормативные показатели (рабочая'!$O:$O,'Нормативные показатели (рабочая'!$K:$K=$C25,'Нормативные показатели (рабочая'!$L:$L=$H25,'Нормативные показатели (рабочая'!$N:$N=""на S плиты"")),""нет нормы""))"),"0,22 - 0,3")</f>
        <v>0,22 - 0,3</v>
      </c>
      <c r="T25" s="48" t="str">
        <f>IFERROR(__xludf.DUMMYFUNCTION("IFS(F25&gt;26,""нет нормы"",C25="""","""",C25&lt;&gt;""МКД"",""нет нормы"",H25&lt;&gt;""Типовой"",""нет нормы"", AND(F25&lt;26,C25=""МКД""),ifs(FILTER('Нормативные показатели (рабочая'!O:O,'Нормативные показатели (рабочая'!K:K=C25,'Нормативные показатели (рабочая'!L:L=H25,"&amp;"'Нормативные показатели (рабочая'!N:N=""на S плиты"",'Нормативные показатели (рабочая'!M:M=""min"")&gt;R25,(-1) *(FILTER('Нормативные показатели (рабочая'!O:O,'Нормативные показатели (рабочая'!K:K=C25,'Нормативные показатели (рабочая'!L:L=H25,'Нормативные по"&amp;"казатели (рабочая'!N:N=""на S плиты"",'Нормативные показатели (рабочая'!M:M=""min"")-R25)/FILTER('Нормативные показатели (рабочая'!O:O,'Нормативные показатели (рабочая'!K:K=C25,'Нормативные показатели (рабочая'!L:L=H25,'Нормативные показатели (рабочая'!N:"&amp;"N=""на S плиты"",'Нормативные показатели (рабочая'!M:M=""min""),AND(R25&gt;=FILTER('Нормативные показатели (рабочая'!O:O,'Нормативные показатели (рабочая'!K:K=C25,'Нормативные показатели (рабочая'!L:L=H25,'Нормативные показатели (рабочая'!N:N=""на S плиты"","&amp;"'Нормативные показатели (рабочая'!M:M=""min""),R25&lt;=FILTER('Нормативные показатели (рабочая'!O:O,'Нормативные показатели (рабочая'!K:K=C25,'Нормативные показатели (рабочая'!L:L=H25,'Нормативные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(рабочая'!K:K=C25,'Нормативные показатели (рабочая'!L:L=H25,'Нормативные показатели (рабочая'!N:N=""на S плиты"",'Нормативные показатели (рабочая'!M:M="&amp;"""max"")&lt;R25,(R25-FILTER('Нормативные показатели (рабочая'!O:O,'Нормативные показатели (рабочая'!K:K=C25,'Нормативные показатели (рабочая'!L:L=H25,'Нормативные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(рабочая'!K:K=C25,'Нормативные показатели (рабочая'!L:L=H25,'Нормативные показатели (рабочая'!N:N=""на S плиты"",'Нормативные показатели (рабочая'!M:M=""max"")))"),"нет")</f>
        <v>нет</v>
      </c>
      <c r="U25" s="20" t="s">
        <v>29</v>
      </c>
      <c r="V25" s="18" t="s">
        <v>153</v>
      </c>
      <c r="W25" s="25"/>
    </row>
    <row r="26" ht="15.75" customHeight="1">
      <c r="A26" s="16" t="s">
        <v>23</v>
      </c>
      <c r="B26" s="16" t="s">
        <v>167</v>
      </c>
      <c r="C26" s="16" t="s">
        <v>25</v>
      </c>
      <c r="D26" s="16" t="s">
        <v>158</v>
      </c>
      <c r="E26" s="44" t="s">
        <v>29</v>
      </c>
      <c r="F26" s="16">
        <v>15.0</v>
      </c>
      <c r="G26" s="16" t="s">
        <v>157</v>
      </c>
      <c r="H26" s="20" t="s">
        <v>152</v>
      </c>
      <c r="I26" s="20" t="s">
        <v>27</v>
      </c>
      <c r="J26" s="50">
        <v>45135.0</v>
      </c>
      <c r="K26" s="16">
        <v>25.0</v>
      </c>
      <c r="L26" s="16">
        <v>182.1</v>
      </c>
      <c r="M26" s="16">
        <v>517.4</v>
      </c>
      <c r="N26" s="16">
        <v>711.4</v>
      </c>
      <c r="O26" s="45">
        <f t="shared" si="3"/>
        <v>0.351952068</v>
      </c>
      <c r="P26" s="46" t="str">
        <f>IFERROR(__xludf.DUMMYFUNCTION("IFERROR(IF(F26&lt;26, (join("" - "",FILTER('Нормативные показатели (рабочая'!$O:$O,'Нормативные показатели (рабочая'!$K:$K=$C26,'Нормативные показатели (рабочая'!$L:$L=$H26,'Нормативные показатели (рабочая'!$N:$N=""на ОРП""))),""нет нормы""))"),"0,35 - 0,45")</f>
        <v>0,35 - 0,45</v>
      </c>
      <c r="Q26" s="47" t="str">
        <f>IFERROR(__xludf.DUMMYFUNCTION("IFS(F26&gt;26,""нет нормы"",C26="""","""",C26&lt;&gt;""МКД"",""нет нормы"",H26&lt;&gt;""Типовой"",""нет нормы"", AND(F26&lt;26,C26=""МКД""),ifs(FILTER('Нормативные показатели (рабочая'!O:O,'Нормативные показатели (рабочая'!K:K=C26,'Нормативные показатели (рабочая'!L:L=H26,"&amp;"'Нормативные показатели (рабочая'!N:N=""на ОРП"",'Нормативные показатели (рабочая'!M:M=""min"")&gt;O26,(-1) *(FILTER('Нормативные показатели (рабочая'!O:O,'Нормативные показатели (рабочая'!K:K=C26,'Нормативные показатели (рабочая'!L:L=H26,'Нормативные показа"&amp;"тели (рабочая'!N:N=""на ОРП"",'Нормативные показатели (рабочая'!M:M=""min"")-O26)/FILTER('Нормативные показатели (рабочая'!O:O,'Нормативные показатели (рабочая'!K:K=C26,'Нормативные показатели (рабочая'!L:L=H26,'Нормативные показатели (рабочая'!N:N=""на О"&amp;"РП"",'Нормативные показатели (рабочая'!M:M=""min""),AND(O26&gt;=FILTER('Нормативные показатели (рабочая'!O:O,'Нормативные показатели (рабочая'!K:K=C26,'Нормативные показатели (рабочая'!L:L=H26,'Нормативные показатели (рабочая'!N:N=""на ОРП"",'Нормативные пок"&amp;"азатели (рабочая'!M:M=""min""),O26&lt;=FILTER('Нормативные показатели (рабочая'!O:O,'Нормативные показатели (рабочая'!K:K=C26,'Нормативные показатели (рабочая'!L:L=H26,'Нормативные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(рабочая'!K:K=C26,'Нормативные показатели (рабочая'!L:L=H26,'Нормативные показатели (рабочая'!N:N=""на ОРП"",'Нормативные показатели (рабочая'!M:M=""max"")&lt;O26,(O26-FILTER"&amp;"('Нормативные показатели (рабочая'!O:O,'Нормативные показатели (рабочая'!K:K=C26,'Нормативные показатели (рабочая'!L:L=H26,'Нормативные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(рабочая'!K:K=C26,'Нормативные показатели (рабочая'!L:L=H26,'Нормативные показатели (рабочая'!N:N=""на ОРП"",'Нормативные показатели (рабочая'!M:M=""max"")))"),"нет")</f>
        <v>нет</v>
      </c>
      <c r="R26" s="45">
        <f t="shared" si="2"/>
        <v>0.2559741355</v>
      </c>
      <c r="S26" s="46" t="str">
        <f>IFERROR(__xludf.DUMMYFUNCTION("IFERROR(IF(F26&lt;26,join("" - "",FILTER('Нормативные показатели (рабочая'!$O:$O,'Нормативные показатели (рабочая'!$K:$K=$C26,'Нормативные показатели (рабочая'!$L:$L=$H26,'Нормативные показатели (рабочая'!$N:$N=""на S плиты"")),""нет нормы""))"),"0,22 - 0,3")</f>
        <v>0,22 - 0,3</v>
      </c>
      <c r="T26" s="48" t="str">
        <f>IFERROR(__xludf.DUMMYFUNCTION("IFS(F26&gt;26,""нет нормы"",C26="""","""",C26&lt;&gt;""МКД"",""нет нормы"",H26&lt;&gt;""Типовой"",""нет нормы"", AND(F26&lt;26,C26=""МКД""),ifs(FILTER('Нормативные показатели (рабочая'!O:O,'Нормативные показатели (рабочая'!K:K=C26,'Нормативные показатели (рабочая'!L:L=H26,"&amp;"'Нормативные показатели (рабочая'!N:N=""на S плиты"",'Нормативные показатели (рабочая'!M:M=""min"")&gt;R26,(-1) *(FILTER('Нормативные показатели (рабочая'!O:O,'Нормативные показатели (рабочая'!K:K=C26,'Нормативные показатели (рабочая'!L:L=H26,'Нормативные по"&amp;"казатели (рабочая'!N:N=""на S плиты"",'Нормативные показатели (рабочая'!M:M=""min"")-R26)/FILTER('Нормативные показатели (рабочая'!O:O,'Нормативные показатели (рабочая'!K:K=C26,'Нормативные показатели (рабочая'!L:L=H26,'Нормативные показатели (рабочая'!N:"&amp;"N=""на S плиты"",'Нормативные показатели (рабочая'!M:M=""min""),AND(R26&gt;=FILTER('Нормативные показатели (рабочая'!O:O,'Нормативные показатели (рабочая'!K:K=C26,'Нормативные показатели (рабочая'!L:L=H26,'Нормативные показатели (рабочая'!N:N=""на S плиты"","&amp;"'Нормативные показатели (рабочая'!M:M=""min""),R26&lt;=FILTER('Нормативные показатели (рабочая'!O:O,'Нормативные показатели (рабочая'!K:K=C26,'Нормативные показатели (рабочая'!L:L=H26,'Нормативные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(рабочая'!K:K=C26,'Нормативные показатели (рабочая'!L:L=H26,'Нормативные показатели (рабочая'!N:N=""на S плиты"",'Нормативные показатели (рабочая'!M:M="&amp;"""max"")&lt;R26,(R26-FILTER('Нормативные показатели (рабочая'!O:O,'Нормативные показатели (рабочая'!K:K=C26,'Нормативные показатели (рабочая'!L:L=H26,'Нормативные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(рабочая'!K:K=C26,'Нормативные показатели (рабочая'!L:L=H26,'Нормативные показатели (рабочая'!N:N=""на S плиты"",'Нормативные показатели (рабочая'!M:M=""max"")))"),"нет")</f>
        <v>нет</v>
      </c>
      <c r="U26" s="20" t="s">
        <v>29</v>
      </c>
      <c r="V26" s="18" t="s">
        <v>153</v>
      </c>
      <c r="W26" s="25"/>
    </row>
    <row r="27" ht="15.75" customHeight="1">
      <c r="A27" s="16" t="s">
        <v>23</v>
      </c>
      <c r="B27" s="16" t="s">
        <v>167</v>
      </c>
      <c r="C27" s="16" t="s">
        <v>25</v>
      </c>
      <c r="D27" s="16" t="s">
        <v>51</v>
      </c>
      <c r="E27" s="44" t="s">
        <v>29</v>
      </c>
      <c r="F27" s="16">
        <v>16.0</v>
      </c>
      <c r="G27" s="16" t="s">
        <v>157</v>
      </c>
      <c r="H27" s="20" t="s">
        <v>152</v>
      </c>
      <c r="I27" s="20" t="s">
        <v>27</v>
      </c>
      <c r="J27" s="50">
        <v>45135.0</v>
      </c>
      <c r="K27" s="16">
        <v>25.0</v>
      </c>
      <c r="L27" s="16">
        <v>149.0</v>
      </c>
      <c r="M27" s="16">
        <v>392.9</v>
      </c>
      <c r="N27" s="16">
        <v>616.2</v>
      </c>
      <c r="O27" s="45">
        <f t="shared" si="3"/>
        <v>0.3792313566</v>
      </c>
      <c r="P27" s="46" t="str">
        <f>IFERROR(__xludf.DUMMYFUNCTION("IFERROR(IF(F27&lt;26, (join("" - "",FILTER('Нормативные показатели (рабочая'!$O:$O,'Нормативные показатели (рабочая'!$K:$K=$C27,'Нормативные показатели (рабочая'!$L:$L=$H27,'Нормативные показатели (рабочая'!$N:$N=""на ОРП""))),""нет нормы""))"),"0,35 - 0,45")</f>
        <v>0,35 - 0,45</v>
      </c>
      <c r="Q27" s="47" t="str">
        <f>IFERROR(__xludf.DUMMYFUNCTION("IFS(F27&gt;26,""нет нормы"",C27="""","""",C27&lt;&gt;""МКД"",""нет нормы"",H27&lt;&gt;""Типовой"",""нет нормы"", AND(F27&lt;26,C27=""МКД""),ifs(FILTER('Нормативные показатели (рабочая'!O:O,'Нормативные показатели (рабочая'!K:K=C27,'Нормативные показатели (рабочая'!L:L=H27,"&amp;"'Нормативные показатели (рабочая'!N:N=""на ОРП"",'Нормативные показатели (рабочая'!M:M=""min"")&gt;O27,(-1) *(FILTER('Нормативные показатели (рабочая'!O:O,'Нормативные показатели (рабочая'!K:K=C27,'Нормативные показатели (рабочая'!L:L=H27,'Нормативные показа"&amp;"тели (рабочая'!N:N=""на ОРП"",'Нормативные показатели (рабочая'!M:M=""min"")-O27)/FILTER('Нормативные показатели (рабочая'!O:O,'Нормативные показатели (рабочая'!K:K=C27,'Нормативные показатели (рабочая'!L:L=H27,'Нормативные показатели (рабочая'!N:N=""на О"&amp;"РП"",'Нормативные показатели (рабочая'!M:M=""min""),AND(O27&gt;=FILTER('Нормативные показатели (рабочая'!O:O,'Нормативные показатели (рабочая'!K:K=C27,'Нормативные показатели (рабочая'!L:L=H27,'Нормативные показатели (рабочая'!N:N=""на ОРП"",'Нормативные пок"&amp;"азатели (рабочая'!M:M=""min""),O27&lt;=FILTER('Нормативные показатели (рабочая'!O:O,'Нормативные показатели (рабочая'!K:K=C27,'Нормативные показатели (рабочая'!L:L=H27,'Нормативные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(рабочая'!K:K=C27,'Нормативные показатели (рабочая'!L:L=H27,'Нормативные показатели (рабочая'!N:N=""на ОРП"",'Нормативные показатели (рабочая'!M:M=""max"")&lt;O27,(O27-FILTER"&amp;"('Нормативные показатели (рабочая'!O:O,'Нормативные показатели (рабочая'!K:K=C27,'Нормативные показатели (рабочая'!L:L=H27,'Нормативные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(рабочая'!K:K=C27,'Нормативные показатели (рабочая'!L:L=H27,'Нормативные показатели (рабочая'!N:N=""на ОРП"",'Нормативные показатели (рабочая'!M:M=""max"")))"),"нет")</f>
        <v>нет</v>
      </c>
      <c r="R27" s="45">
        <f t="shared" si="2"/>
        <v>0.2418046089</v>
      </c>
      <c r="S27" s="46" t="str">
        <f>IFERROR(__xludf.DUMMYFUNCTION("IFERROR(IF(F27&lt;26,join("" - "",FILTER('Нормативные показатели (рабочая'!$O:$O,'Нормативные показатели (рабочая'!$K:$K=$C27,'Нормативные показатели (рабочая'!$L:$L=$H27,'Нормативные показатели (рабочая'!$N:$N=""на S плиты"")),""нет нормы""))"),"0,22 - 0,3")</f>
        <v>0,22 - 0,3</v>
      </c>
      <c r="T27" s="48" t="str">
        <f>IFERROR(__xludf.DUMMYFUNCTION("IFS(F27&gt;26,""нет нормы"",C27="""","""",C27&lt;&gt;""МКД"",""нет нормы"",H27&lt;&gt;""Типовой"",""нет нормы"", AND(F27&lt;26,C27=""МКД""),ifs(FILTER('Нормативные показатели (рабочая'!O:O,'Нормативные показатели (рабочая'!K:K=C27,'Нормативные показатели (рабочая'!L:L=H27,"&amp;"'Нормативные показатели (рабочая'!N:N=""на S плиты"",'Нормативные показатели (рабочая'!M:M=""min"")&gt;R27,(-1) *(FILTER('Нормативные показатели (рабочая'!O:O,'Нормативные показатели (рабочая'!K:K=C27,'Нормативные показатели (рабочая'!L:L=H27,'Нормативные по"&amp;"казатели (рабочая'!N:N=""на S плиты"",'Нормативные показатели (рабочая'!M:M=""min"")-R27)/FILTER('Нормативные показатели (рабочая'!O:O,'Нормативные показатели (рабочая'!K:K=C27,'Нормативные показатели (рабочая'!L:L=H27,'Нормативные показатели (рабочая'!N:"&amp;"N=""на S плиты"",'Нормативные показатели (рабочая'!M:M=""min""),AND(R27&gt;=FILTER('Нормативные показатели (рабочая'!O:O,'Нормативные показатели (рабочая'!K:K=C27,'Нормативные показатели (рабочая'!L:L=H27,'Нормативные показатели (рабочая'!N:N=""на S плиты"","&amp;"'Нормативные показатели (рабочая'!M:M=""min""),R27&lt;=FILTER('Нормативные показатели (рабочая'!O:O,'Нормативные показатели (рабочая'!K:K=C27,'Нормативные показатели (рабочая'!L:L=H27,'Нормативные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(рабочая'!K:K=C27,'Нормативные показатели (рабочая'!L:L=H27,'Нормативные показатели (рабочая'!N:N=""на S плиты"",'Нормативные показатели (рабочая'!M:M="&amp;"""max"")&lt;R27,(R27-FILTER('Нормативные показатели (рабочая'!O:O,'Нормативные показатели (рабочая'!K:K=C27,'Нормативные показатели (рабочая'!L:L=H27,'Нормативные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(рабочая'!K:K=C27,'Нормативные показатели (рабочая'!L:L=H27,'Нормативные показатели (рабочая'!N:N=""на S плиты"",'Нормативные показатели (рабочая'!M:M=""max"")))"),"нет")</f>
        <v>нет</v>
      </c>
      <c r="U27" s="20" t="s">
        <v>29</v>
      </c>
      <c r="V27" s="18" t="s">
        <v>153</v>
      </c>
      <c r="W27" s="25"/>
    </row>
    <row r="28" ht="15.75" customHeight="1">
      <c r="A28" s="16" t="s">
        <v>23</v>
      </c>
      <c r="B28" s="16" t="s">
        <v>167</v>
      </c>
      <c r="C28" s="16" t="s">
        <v>25</v>
      </c>
      <c r="D28" s="16" t="s">
        <v>52</v>
      </c>
      <c r="E28" s="44" t="s">
        <v>29</v>
      </c>
      <c r="F28" s="16">
        <v>16.0</v>
      </c>
      <c r="G28" s="16" t="s">
        <v>157</v>
      </c>
      <c r="H28" s="20" t="s">
        <v>152</v>
      </c>
      <c r="I28" s="20" t="s">
        <v>27</v>
      </c>
      <c r="J28" s="50">
        <v>45135.0</v>
      </c>
      <c r="K28" s="16">
        <v>25.0</v>
      </c>
      <c r="L28" s="16">
        <v>192.3</v>
      </c>
      <c r="M28" s="16">
        <v>549.0</v>
      </c>
      <c r="N28" s="16">
        <v>748.0</v>
      </c>
      <c r="O28" s="45">
        <f t="shared" si="3"/>
        <v>0.350273224</v>
      </c>
      <c r="P28" s="46" t="str">
        <f>IFERROR(__xludf.DUMMYFUNCTION("IFERROR(IF(F28&lt;26, (join("" - "",FILTER('Нормативные показатели (рабочая'!$O:$O,'Нормативные показатели (рабочая'!$K:$K=$C28,'Нормативные показатели (рабочая'!$L:$L=$H28,'Нормативные показатели (рабочая'!$N:$N=""на ОРП""))),""нет нормы""))"),"0,35 - 0,45")</f>
        <v>0,35 - 0,45</v>
      </c>
      <c r="Q28" s="47" t="str">
        <f>IFERROR(__xludf.DUMMYFUNCTION("IFS(F28&gt;26,""нет нормы"",C28="""","""",C28&lt;&gt;""МКД"",""нет нормы"",H28&lt;&gt;""Типовой"",""нет нормы"", AND(F28&lt;26,C28=""МКД""),ifs(FILTER('Нормативные показатели (рабочая'!O:O,'Нормативные показатели (рабочая'!K:K=C28,'Нормативные показатели (рабочая'!L:L=H28,"&amp;"'Нормативные показатели (рабочая'!N:N=""на ОРП"",'Нормативные показатели (рабочая'!M:M=""min"")&gt;O28,(-1) *(FILTER('Нормативные показатели (рабочая'!O:O,'Нормативные показатели (рабочая'!K:K=C28,'Нормативные показатели (рабочая'!L:L=H28,'Нормативные показа"&amp;"тели (рабочая'!N:N=""на ОРП"",'Нормативные показатели (рабочая'!M:M=""min"")-O28)/FILTER('Нормативные показатели (рабочая'!O:O,'Нормативные показатели (рабочая'!K:K=C28,'Нормативные показатели (рабочая'!L:L=H28,'Нормативные показатели (рабочая'!N:N=""на О"&amp;"РП"",'Нормативные показатели (рабочая'!M:M=""min""),AND(O28&gt;=FILTER('Нормативные показатели (рабочая'!O:O,'Нормативные показатели (рабочая'!K:K=C28,'Нормативные показатели (рабочая'!L:L=H28,'Нормативные показатели (рабочая'!N:N=""на ОРП"",'Нормативные пок"&amp;"азатели (рабочая'!M:M=""min""),O28&lt;=FILTER('Нормативные показатели (рабочая'!O:O,'Нормативные показатели (рабочая'!K:K=C28,'Нормативные показатели (рабочая'!L:L=H28,'Нормативные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(рабочая'!K:K=C28,'Нормативные показатели (рабочая'!L:L=H28,'Нормативные показатели (рабочая'!N:N=""на ОРП"",'Нормативные показатели (рабочая'!M:M=""max"")&lt;O28,(O28-FILTER"&amp;"('Нормативные показатели (рабочая'!O:O,'Нормативные показатели (рабочая'!K:K=C28,'Нормативные показатели (рабочая'!L:L=H28,'Нормативные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(рабочая'!K:K=C28,'Нормативные показатели (рабочая'!L:L=H28,'Нормативные показатели (рабочая'!N:N=""на ОРП"",'Нормативные показатели (рабочая'!M:M=""max"")))"),"нет")</f>
        <v>нет</v>
      </c>
      <c r="R28" s="45">
        <f t="shared" si="2"/>
        <v>0.2570855615</v>
      </c>
      <c r="S28" s="46" t="str">
        <f>IFERROR(__xludf.DUMMYFUNCTION("IFERROR(IF(F28&lt;26,join("" - "",FILTER('Нормативные показатели (рабочая'!$O:$O,'Нормативные показатели (рабочая'!$K:$K=$C28,'Нормативные показатели (рабочая'!$L:$L=$H28,'Нормативные показатели (рабочая'!$N:$N=""на S плиты"")),""нет нормы""))"),"0,22 - 0,3")</f>
        <v>0,22 - 0,3</v>
      </c>
      <c r="T28" s="48" t="str">
        <f>IFERROR(__xludf.DUMMYFUNCTION("IFS(F28&gt;26,""нет нормы"",C28="""","""",C28&lt;&gt;""МКД"",""нет нормы"",H28&lt;&gt;""Типовой"",""нет нормы"", AND(F28&lt;26,C28=""МКД""),ifs(FILTER('Нормативные показатели (рабочая'!O:O,'Нормативные показатели (рабочая'!K:K=C28,'Нормативные показатели (рабочая'!L:L=H28,"&amp;"'Нормативные показатели (рабочая'!N:N=""на S плиты"",'Нормативные показатели (рабочая'!M:M=""min"")&gt;R28,(-1) *(FILTER('Нормативные показатели (рабочая'!O:O,'Нормативные показатели (рабочая'!K:K=C28,'Нормативные показатели (рабочая'!L:L=H28,'Нормативные по"&amp;"казатели (рабочая'!N:N=""на S плиты"",'Нормативные показатели (рабочая'!M:M=""min"")-R28)/FILTER('Нормативные показатели (рабочая'!O:O,'Нормативные показатели (рабочая'!K:K=C28,'Нормативные показатели (рабочая'!L:L=H28,'Нормативные показатели (рабочая'!N:"&amp;"N=""на S плиты"",'Нормативные показатели (рабочая'!M:M=""min""),AND(R28&gt;=FILTER('Нормативные показатели (рабочая'!O:O,'Нормативные показатели (рабочая'!K:K=C28,'Нормативные показатели (рабочая'!L:L=H28,'Нормативные показатели (рабочая'!N:N=""на S плиты"","&amp;"'Нормативные показатели (рабочая'!M:M=""min""),R28&lt;=FILTER('Нормативные показатели (рабочая'!O:O,'Нормативные показатели (рабочая'!K:K=C28,'Нормативные показатели (рабочая'!L:L=H28,'Нормативные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(рабочая'!K:K=C28,'Нормативные показатели (рабочая'!L:L=H28,'Нормативные показатели (рабочая'!N:N=""на S плиты"",'Нормативные показатели (рабочая'!M:M="&amp;"""max"")&lt;R28,(R28-FILTER('Нормативные показатели (рабочая'!O:O,'Нормативные показатели (рабочая'!K:K=C28,'Нормативные показатели (рабочая'!L:L=H28,'Нормативные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(рабочая'!K:K=C28,'Нормативные показатели (рабочая'!L:L=H28,'Нормативные показатели (рабочая'!N:N=""на S плиты"",'Нормативные показатели (рабочая'!M:M=""max"")))"),"нет")</f>
        <v>нет</v>
      </c>
      <c r="U28" s="20" t="s">
        <v>29</v>
      </c>
      <c r="V28" s="18" t="s">
        <v>153</v>
      </c>
      <c r="W28" s="25"/>
    </row>
    <row r="29" ht="15.75" customHeight="1">
      <c r="A29" s="16" t="s">
        <v>23</v>
      </c>
      <c r="B29" s="16" t="s">
        <v>167</v>
      </c>
      <c r="C29" s="16" t="s">
        <v>25</v>
      </c>
      <c r="D29" s="16" t="s">
        <v>54</v>
      </c>
      <c r="E29" s="44" t="s">
        <v>29</v>
      </c>
      <c r="F29" s="16">
        <v>15.0</v>
      </c>
      <c r="G29" s="16" t="s">
        <v>157</v>
      </c>
      <c r="H29" s="20" t="s">
        <v>152</v>
      </c>
      <c r="I29" s="20" t="s">
        <v>27</v>
      </c>
      <c r="J29" s="50">
        <v>45135.0</v>
      </c>
      <c r="K29" s="16">
        <v>25.0</v>
      </c>
      <c r="L29" s="16">
        <v>182.3</v>
      </c>
      <c r="M29" s="16">
        <v>518.4</v>
      </c>
      <c r="N29" s="16">
        <v>734.3</v>
      </c>
      <c r="O29" s="45">
        <f t="shared" si="3"/>
        <v>0.3516589506</v>
      </c>
      <c r="P29" s="46" t="str">
        <f>IFERROR(__xludf.DUMMYFUNCTION("IFERROR(IF(F29&lt;26, (join("" - "",FILTER('Нормативные показатели (рабочая'!$O:$O,'Нормативные показатели (рабочая'!$K:$K=$C29,'Нормативные показатели (рабочая'!$L:$L=$H29,'Нормативные показатели (рабочая'!$N:$N=""на ОРП""))),""нет нормы""))"),"0,35 - 0,45")</f>
        <v>0,35 - 0,45</v>
      </c>
      <c r="Q29" s="47" t="str">
        <f>IFERROR(__xludf.DUMMYFUNCTION("IFS(F29&gt;26,""нет нормы"",C29="""","""",C29&lt;&gt;""МКД"",""нет нормы"",H29&lt;&gt;""Типовой"",""нет нормы"", AND(F29&lt;26,C29=""МКД""),ifs(FILTER('Нормативные показатели (рабочая'!O:O,'Нормативные показатели (рабочая'!K:K=C29,'Нормативные показатели (рабочая'!L:L=H29,"&amp;"'Нормативные показатели (рабочая'!N:N=""на ОРП"",'Нормативные показатели (рабочая'!M:M=""min"")&gt;O29,(-1) *(FILTER('Нормативные показатели (рабочая'!O:O,'Нормативные показатели (рабочая'!K:K=C29,'Нормативные показатели (рабочая'!L:L=H29,'Нормативные показа"&amp;"тели (рабочая'!N:N=""на ОРП"",'Нормативные показатели (рабочая'!M:M=""min"")-O29)/FILTER('Нормативные показатели (рабочая'!O:O,'Нормативные показатели (рабочая'!K:K=C29,'Нормативные показатели (рабочая'!L:L=H29,'Нормативные показатели (рабочая'!N:N=""на О"&amp;"РП"",'Нормативные показатели (рабочая'!M:M=""min""),AND(O29&gt;=FILTER('Нормативные показатели (рабочая'!O:O,'Нормативные показатели (рабочая'!K:K=C29,'Нормативные показатели (рабочая'!L:L=H29,'Нормативные показатели (рабочая'!N:N=""на ОРП"",'Нормативные пок"&amp;"азатели (рабочая'!M:M=""min""),O29&lt;=FILTER('Нормативные показатели (рабочая'!O:O,'Нормативные показатели (рабочая'!K:K=C29,'Нормативные показатели (рабочая'!L:L=H29,'Нормативные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(рабочая'!K:K=C29,'Нормативные показатели (рабочая'!L:L=H29,'Нормативные показатели (рабочая'!N:N=""на ОРП"",'Нормативные показатели (рабочая'!M:M=""max"")&lt;O29,(O29-FILTER"&amp;"('Нормативные показатели (рабочая'!O:O,'Нормативные показатели (рабочая'!K:K=C29,'Нормативные показатели (рабочая'!L:L=H29,'Нормативные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(рабочая'!K:K=C29,'Нормативные показатели (рабочая'!L:L=H29,'Нормативные показатели (рабочая'!N:N=""на ОРП"",'Нормативные показатели (рабочая'!M:M=""max"")))"),"нет")</f>
        <v>нет</v>
      </c>
      <c r="R29" s="45">
        <f t="shared" si="2"/>
        <v>0.2482636525</v>
      </c>
      <c r="S29" s="46" t="str">
        <f>IFERROR(__xludf.DUMMYFUNCTION("IFERROR(IF(F29&lt;26,join("" - "",FILTER('Нормативные показатели (рабочая'!$O:$O,'Нормативные показатели (рабочая'!$K:$K=$C29,'Нормативные показатели (рабочая'!$L:$L=$H29,'Нормативные показатели (рабочая'!$N:$N=""на S плиты"")),""нет нормы""))"),"0,22 - 0,3")</f>
        <v>0,22 - 0,3</v>
      </c>
      <c r="T29" s="48" t="str">
        <f>IFERROR(__xludf.DUMMYFUNCTION("IFS(F29&gt;26,""нет нормы"",C29="""","""",C29&lt;&gt;""МКД"",""нет нормы"",H29&lt;&gt;""Типовой"",""нет нормы"", AND(F29&lt;26,C29=""МКД""),ifs(FILTER('Нормативные показатели (рабочая'!O:O,'Нормативные показатели (рабочая'!K:K=C29,'Нормативные показатели (рабочая'!L:L=H29,"&amp;"'Нормативные показатели (рабочая'!N:N=""на S плиты"",'Нормативные показатели (рабочая'!M:M=""min"")&gt;R29,(-1) *(FILTER('Нормативные показатели (рабочая'!O:O,'Нормативные показатели (рабочая'!K:K=C29,'Нормативные показатели (рабочая'!L:L=H29,'Нормативные по"&amp;"казатели (рабочая'!N:N=""на S плиты"",'Нормативные показатели (рабочая'!M:M=""min"")-R29)/FILTER('Нормативные показатели (рабочая'!O:O,'Нормативные показатели (рабочая'!K:K=C29,'Нормативные показатели (рабочая'!L:L=H29,'Нормативные показатели (рабочая'!N:"&amp;"N=""на S плиты"",'Нормативные показатели (рабочая'!M:M=""min""),AND(R29&gt;=FILTER('Нормативные показатели (рабочая'!O:O,'Нормативные показатели (рабочая'!K:K=C29,'Нормативные показатели (рабочая'!L:L=H29,'Нормативные показатели (рабочая'!N:N=""на S плиты"","&amp;"'Нормативные показатели (рабочая'!M:M=""min""),R29&lt;=FILTER('Нормативные показатели (рабочая'!O:O,'Нормативные показатели (рабочая'!K:K=C29,'Нормативные показатели (рабочая'!L:L=H29,'Нормативные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(рабочая'!K:K=C29,'Нормативные показатели (рабочая'!L:L=H29,'Нормативные показатели (рабочая'!N:N=""на S плиты"",'Нормативные показатели (рабочая'!M:M="&amp;"""max"")&lt;R29,(R29-FILTER('Нормативные показатели (рабочая'!O:O,'Нормативные показатели (рабочая'!K:K=C29,'Нормативные показатели (рабочая'!L:L=H29,'Нормативные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(рабочая'!K:K=C29,'Нормативные показатели (рабочая'!L:L=H29,'Нормативные показатели (рабочая'!N:N=""на S плиты"",'Нормативные показатели (рабочая'!M:M=""max"")))"),"нет")</f>
        <v>нет</v>
      </c>
      <c r="U29" s="20" t="s">
        <v>29</v>
      </c>
      <c r="V29" s="18" t="s">
        <v>153</v>
      </c>
      <c r="W29" s="25"/>
    </row>
    <row r="30" ht="15.75" customHeight="1">
      <c r="A30" s="16" t="s">
        <v>23</v>
      </c>
      <c r="B30" s="16" t="s">
        <v>167</v>
      </c>
      <c r="C30" s="16" t="s">
        <v>25</v>
      </c>
      <c r="D30" s="16" t="s">
        <v>56</v>
      </c>
      <c r="E30" s="44" t="s">
        <v>29</v>
      </c>
      <c r="F30" s="16">
        <v>13.0</v>
      </c>
      <c r="G30" s="16" t="s">
        <v>157</v>
      </c>
      <c r="H30" s="20" t="s">
        <v>152</v>
      </c>
      <c r="I30" s="20" t="s">
        <v>27</v>
      </c>
      <c r="J30" s="50">
        <v>45135.0</v>
      </c>
      <c r="K30" s="16">
        <v>25.0</v>
      </c>
      <c r="L30" s="16">
        <v>127.8</v>
      </c>
      <c r="M30" s="16">
        <v>361.8</v>
      </c>
      <c r="N30" s="16">
        <v>513.2</v>
      </c>
      <c r="O30" s="45">
        <f t="shared" si="3"/>
        <v>0.3532338308</v>
      </c>
      <c r="P30" s="46" t="str">
        <f>IFERROR(__xludf.DUMMYFUNCTION("IFERROR(IF(F30&lt;26, (join("" - "",FILTER('Нормативные показатели (рабочая'!$O:$O,'Нормативные показатели (рабочая'!$K:$K=$C30,'Нормативные показатели (рабочая'!$L:$L=$H30,'Нормативные показатели (рабочая'!$N:$N=""на ОРП""))),""нет нормы""))"),"0,35 - 0,45")</f>
        <v>0,35 - 0,45</v>
      </c>
      <c r="Q30" s="47" t="str">
        <f>IFERROR(__xludf.DUMMYFUNCTION("IFS(F30&gt;26,""нет нормы"",C30="""","""",C30&lt;&gt;""МКД"",""нет нормы"",H30&lt;&gt;""Типовой"",""нет нормы"", AND(F30&lt;26,C30=""МКД""),ifs(FILTER('Нормативные показатели (рабочая'!O:O,'Нормативные показатели (рабочая'!K:K=C30,'Нормативные показатели (рабочая'!L:L=H30,"&amp;"'Нормативные показатели (рабочая'!N:N=""на ОРП"",'Нормативные показатели (рабочая'!M:M=""min"")&gt;O30,(-1) *(FILTER('Нормативные показатели (рабочая'!O:O,'Нормативные показатели (рабочая'!K:K=C30,'Нормативные показатели (рабочая'!L:L=H30,'Нормативные показа"&amp;"тели (рабочая'!N:N=""на ОРП"",'Нормативные показатели (рабочая'!M:M=""min"")-O30)/FILTER('Нормативные показатели (рабочая'!O:O,'Нормативные показатели (рабочая'!K:K=C30,'Нормативные показатели (рабочая'!L:L=H30,'Нормативные показатели (рабочая'!N:N=""на О"&amp;"РП"",'Нормативные показатели (рабочая'!M:M=""min""),AND(O30&gt;=FILTER('Нормативные показатели (рабочая'!O:O,'Нормативные показатели (рабочая'!K:K=C30,'Нормативные показатели (рабочая'!L:L=H30,'Нормативные показатели (рабочая'!N:N=""на ОРП"",'Нормативные пок"&amp;"азатели (рабочая'!M:M=""min""),O30&lt;=FILTER('Нормативные показатели (рабочая'!O:O,'Нормативные показатели (рабочая'!K:K=C30,'Нормативные показатели (рабочая'!L:L=H30,'Нормативные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(рабочая'!K:K=C30,'Нормативные показатели (рабочая'!L:L=H30,'Нормативные показатели (рабочая'!N:N=""на ОРП"",'Нормативные показатели (рабочая'!M:M=""max"")&lt;O30,(O30-FILTER"&amp;"('Нормативные показатели (рабочая'!O:O,'Нормативные показатели (рабочая'!K:K=C30,'Нормативные показатели (рабочая'!L:L=H30,'Нормативные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(рабочая'!K:K=C30,'Нормативные показатели (рабочая'!L:L=H30,'Нормативные показатели (рабочая'!N:N=""на ОРП"",'Нормативные показатели (рабочая'!M:M=""max"")))"),"нет")</f>
        <v>нет</v>
      </c>
      <c r="R30" s="45">
        <f t="shared" si="2"/>
        <v>0.249025721</v>
      </c>
      <c r="S30" s="46" t="str">
        <f>IFERROR(__xludf.DUMMYFUNCTION("IFERROR(IF(F30&lt;26,join("" - "",FILTER('Нормативные показатели (рабочая'!$O:$O,'Нормативные показатели (рабочая'!$K:$K=$C30,'Нормативные показатели (рабочая'!$L:$L=$H30,'Нормативные показатели (рабочая'!$N:$N=""на S плиты"")),""нет нормы""))"),"0,22 - 0,3")</f>
        <v>0,22 - 0,3</v>
      </c>
      <c r="T30" s="48" t="str">
        <f>IFERROR(__xludf.DUMMYFUNCTION("IFS(F30&gt;26,""нет нормы"",C30="""","""",C30&lt;&gt;""МКД"",""нет нормы"",H30&lt;&gt;""Типовой"",""нет нормы"", AND(F30&lt;26,C30=""МКД""),ifs(FILTER('Нормативные показатели (рабочая'!O:O,'Нормативные показатели (рабочая'!K:K=C30,'Нормативные показатели (рабочая'!L:L=H30,"&amp;"'Нормативные показатели (рабочая'!N:N=""на S плиты"",'Нормативные показатели (рабочая'!M:M=""min"")&gt;R30,(-1) *(FILTER('Нормативные показатели (рабочая'!O:O,'Нормативные показатели (рабочая'!K:K=C30,'Нормативные показатели (рабочая'!L:L=H30,'Нормативные по"&amp;"казатели (рабочая'!N:N=""на S плиты"",'Нормативные показатели (рабочая'!M:M=""min"")-R30)/FILTER('Нормативные показатели (рабочая'!O:O,'Нормативные показатели (рабочая'!K:K=C30,'Нормативные показатели (рабочая'!L:L=H30,'Нормативные показатели (рабочая'!N:"&amp;"N=""на S плиты"",'Нормативные показатели (рабочая'!M:M=""min""),AND(R30&gt;=FILTER('Нормативные показатели (рабочая'!O:O,'Нормативные показатели (рабочая'!K:K=C30,'Нормативные показатели (рабочая'!L:L=H30,'Нормативные показатели (рабочая'!N:N=""на S плиты"","&amp;"'Нормативные показатели (рабочая'!M:M=""min""),R30&lt;=FILTER('Нормативные показатели (рабочая'!O:O,'Нормативные показатели (рабочая'!K:K=C30,'Нормативные показатели (рабочая'!L:L=H30,'Нормативные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(рабочая'!K:K=C30,'Нормативные показатели (рабочая'!L:L=H30,'Нормативные показатели (рабочая'!N:N=""на S плиты"",'Нормативные показатели (рабочая'!M:M="&amp;"""max"")&lt;R30,(R30-FILTER('Нормативные показатели (рабочая'!O:O,'Нормативные показатели (рабочая'!K:K=C30,'Нормативные показатели (рабочая'!L:L=H30,'Нормативные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(рабочая'!K:K=C30,'Нормативные показатели (рабочая'!L:L=H30,'Нормативные показатели (рабочая'!N:N=""на S плиты"",'Нормативные показатели (рабочая'!M:M=""max"")))"),"нет")</f>
        <v>нет</v>
      </c>
      <c r="U30" s="20" t="s">
        <v>29</v>
      </c>
      <c r="V30" s="18" t="s">
        <v>153</v>
      </c>
      <c r="W30" s="25"/>
    </row>
    <row r="31" ht="15.75" customHeight="1">
      <c r="A31" s="16" t="s">
        <v>30</v>
      </c>
      <c r="B31" s="16" t="s">
        <v>34</v>
      </c>
      <c r="C31" s="16" t="s">
        <v>25</v>
      </c>
      <c r="D31" s="16" t="s">
        <v>169</v>
      </c>
      <c r="E31" s="29"/>
      <c r="F31" s="16">
        <v>16.0</v>
      </c>
      <c r="G31" s="16" t="s">
        <v>154</v>
      </c>
      <c r="H31" s="20" t="s">
        <v>152</v>
      </c>
      <c r="I31" s="20" t="s">
        <v>27</v>
      </c>
      <c r="J31" s="50">
        <v>45138.0</v>
      </c>
      <c r="K31" s="16">
        <v>25.0</v>
      </c>
      <c r="L31" s="16">
        <v>214.65</v>
      </c>
      <c r="M31" s="16">
        <v>511.69</v>
      </c>
      <c r="N31" s="16">
        <v>750.7</v>
      </c>
      <c r="O31" s="45">
        <f t="shared" si="3"/>
        <v>0.4194922707</v>
      </c>
      <c r="P31" s="46" t="str">
        <f>IFERROR(__xludf.DUMMYFUNCTION("IFERROR(IF(F31&lt;26, (join("" - "",FILTER('Нормативные показатели (рабочая'!$O:$O,'Нормативные показатели (рабочая'!$K:$K=$C31,'Нормативные показатели (рабочая'!$L:$L=$H31,'Нормативные показатели (рабочая'!$N:$N=""на ОРП""))),""нет нормы""))"),"0,35 - 0,45")</f>
        <v>0,35 - 0,45</v>
      </c>
      <c r="Q31" s="47" t="str">
        <f>IFERROR(__xludf.DUMMYFUNCTION("IFS(F31&gt;26,""нет нормы"",C31="""","""",C31&lt;&gt;""МКД"",""нет нормы"",H31&lt;&gt;""Типовой"",""нет нормы"", AND(F31&lt;26,C31=""МКД""),ifs(FILTER('Нормативные показатели (рабочая'!O:O,'Нормативные показатели (рабочая'!K:K=C31,'Нормативные показатели (рабочая'!L:L=H31,"&amp;"'Нормативные показатели (рабочая'!N:N=""на ОРП"",'Нормативные показатели (рабочая'!M:M=""min"")&gt;O31,(-1) *(FILTER('Нормативные показатели (рабочая'!O:O,'Нормативные показатели (рабочая'!K:K=C31,'Нормативные показатели (рабочая'!L:L=H31,'Нормативные показа"&amp;"тели (рабочая'!N:N=""на ОРП"",'Нормативные показатели (рабочая'!M:M=""min"")-O31)/FILTER('Нормативные показатели (рабочая'!O:O,'Нормативные показатели (рабочая'!K:K=C31,'Нормативные показатели (рабочая'!L:L=H31,'Нормативные показатели (рабочая'!N:N=""на О"&amp;"РП"",'Нормативные показатели (рабочая'!M:M=""min""),AND(O31&gt;=FILTER('Нормативные показатели (рабочая'!O:O,'Нормативные показатели (рабочая'!K:K=C31,'Нормативные показатели (рабочая'!L:L=H31,'Нормативные показатели (рабочая'!N:N=""на ОРП"",'Нормативные пок"&amp;"азатели (рабочая'!M:M=""min""),O31&lt;=FILTER('Нормативные показатели (рабочая'!O:O,'Нормативные показатели (рабочая'!K:K=C31,'Нормативные показатели (рабочая'!L:L=H31,'Нормативные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(рабочая'!K:K=C31,'Нормативные показатели (рабочая'!L:L=H31,'Нормативные показатели (рабочая'!N:N=""на ОРП"",'Нормативные показатели (рабочая'!M:M=""max"")&lt;O31,(O31-FILTER"&amp;"('Нормативные показатели (рабочая'!O:O,'Нормативные показатели (рабочая'!K:K=C31,'Нормативные показатели (рабочая'!L:L=H31,'Нормативные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(рабочая'!K:K=C31,'Нормативные показатели (рабочая'!L:L=H31,'Нормативные показатели (рабочая'!N:N=""на ОРП"",'Нормативные показатели (рабочая'!M:M=""max"")))"),"нет")</f>
        <v>нет</v>
      </c>
      <c r="R31" s="45">
        <f t="shared" si="2"/>
        <v>0.2859331291</v>
      </c>
      <c r="S31" s="46" t="str">
        <f>IFERROR(__xludf.DUMMYFUNCTION("IFERROR(IF(F31&lt;26,join("" - "",FILTER('Нормативные показатели (рабочая'!$O:$O,'Нормативные показатели (рабочая'!$K:$K=$C31,'Нормативные показатели (рабочая'!$L:$L=$H31,'Нормативные показатели (рабочая'!$N:$N=""на S плиты"")),""нет нормы""))"),"0,22 - 0,3")</f>
        <v>0,22 - 0,3</v>
      </c>
      <c r="T31" s="48" t="str">
        <f>IFERROR(__xludf.DUMMYFUNCTION("IFS(F31&gt;26,""нет нормы"",C31="""","""",C31&lt;&gt;""МКД"",""нет нормы"",H31&lt;&gt;""Типовой"",""нет нормы"", AND(F31&lt;26,C31=""МКД""),ifs(FILTER('Нормативные показатели (рабочая'!O:O,'Нормативные показатели (рабочая'!K:K=C31,'Нормативные показатели (рабочая'!L:L=H31,"&amp;"'Нормативные показатели (рабочая'!N:N=""на S плиты"",'Нормативные показатели (рабочая'!M:M=""min"")&gt;R31,(-1) *(FILTER('Нормативные показатели (рабочая'!O:O,'Нормативные показатели (рабочая'!K:K=C31,'Нормативные показатели (рабочая'!L:L=H31,'Нормативные по"&amp;"казатели (рабочая'!N:N=""на S плиты"",'Нормативные показатели (рабочая'!M:M=""min"")-R31)/FILTER('Нормативные показатели (рабочая'!O:O,'Нормативные показатели (рабочая'!K:K=C31,'Нормативные показатели (рабочая'!L:L=H31,'Нормативные показатели (рабочая'!N:"&amp;"N=""на S плиты"",'Нормативные показатели (рабочая'!M:M=""min""),AND(R31&gt;=FILTER('Нормативные показатели (рабочая'!O:O,'Нормативные показатели (рабочая'!K:K=C31,'Нормативные показатели (рабочая'!L:L=H31,'Нормативные показатели (рабочая'!N:N=""на S плиты"","&amp;"'Нормативные показатели (рабочая'!M:M=""min""),R31&lt;=FILTER('Нормативные показатели (рабочая'!O:O,'Нормативные показатели (рабочая'!K:K=C31,'Нормативные показатели (рабочая'!L:L=H31,'Нормативные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(рабочая'!K:K=C31,'Нормативные показатели (рабочая'!L:L=H31,'Нормативные показатели (рабочая'!N:N=""на S плиты"",'Нормативные показатели (рабочая'!M:M="&amp;"""max"")&lt;R31,(R31-FILTER('Нормативные показатели (рабочая'!O:O,'Нормативные показатели (рабочая'!K:K=C31,'Нормативные показатели (рабочая'!L:L=H31,'Нормативные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(рабочая'!K:K=C31,'Нормативные показатели (рабочая'!L:L=H31,'Нормативные показатели (рабочая'!N:N=""на S плиты"",'Нормативные показатели (рабочая'!M:M=""max"")))"),"нет")</f>
        <v>нет</v>
      </c>
      <c r="U31" s="20" t="s">
        <v>29</v>
      </c>
      <c r="V31" s="25"/>
      <c r="W31" s="25"/>
    </row>
    <row r="32" ht="15.75" customHeight="1">
      <c r="A32" s="16" t="s">
        <v>30</v>
      </c>
      <c r="B32" s="16" t="s">
        <v>34</v>
      </c>
      <c r="C32" s="16" t="s">
        <v>25</v>
      </c>
      <c r="D32" s="16" t="s">
        <v>43</v>
      </c>
      <c r="E32" s="29"/>
      <c r="F32" s="16">
        <v>13.0</v>
      </c>
      <c r="G32" s="16" t="s">
        <v>154</v>
      </c>
      <c r="H32" s="20" t="s">
        <v>152</v>
      </c>
      <c r="I32" s="20" t="s">
        <v>27</v>
      </c>
      <c r="J32" s="50">
        <v>45138.0</v>
      </c>
      <c r="K32" s="16">
        <v>25.0</v>
      </c>
      <c r="L32" s="16">
        <v>208.11</v>
      </c>
      <c r="M32" s="16">
        <v>542.73</v>
      </c>
      <c r="N32" s="16">
        <v>750.55</v>
      </c>
      <c r="O32" s="45">
        <f t="shared" si="3"/>
        <v>0.3834503344</v>
      </c>
      <c r="P32" s="46" t="str">
        <f>IFERROR(__xludf.DUMMYFUNCTION("IFERROR(IF(F32&lt;26, (join("" - "",FILTER('Нормативные показатели (рабочая'!$O:$O,'Нормативные показатели (рабочая'!$K:$K=$C32,'Нормативные показатели (рабочая'!$L:$L=$H32,'Нормативные показатели (рабочая'!$N:$N=""на ОРП""))),""нет нормы""))"),"0,35 - 0,45")</f>
        <v>0,35 - 0,45</v>
      </c>
      <c r="Q32" s="47" t="str">
        <f>IFERROR(__xludf.DUMMYFUNCTION("IFS(F32&gt;26,""нет нормы"",C32="""","""",C32&lt;&gt;""МКД"",""нет нормы"",H32&lt;&gt;""Типовой"",""нет нормы"", AND(F32&lt;26,C32=""МКД""),ifs(FILTER('Нормативные показатели (рабочая'!O:O,'Нормативные показатели (рабочая'!K:K=C32,'Нормативные показатели (рабочая'!L:L=H32,"&amp;"'Нормативные показатели (рабочая'!N:N=""на ОРП"",'Нормативные показатели (рабочая'!M:M=""min"")&gt;O32,(-1) *(FILTER('Нормативные показатели (рабочая'!O:O,'Нормативные показатели (рабочая'!K:K=C32,'Нормативные показатели (рабочая'!L:L=H32,'Нормативные показа"&amp;"тели (рабочая'!N:N=""на ОРП"",'Нормативные показатели (рабочая'!M:M=""min"")-O32)/FILTER('Нормативные показатели (рабочая'!O:O,'Нормативные показатели (рабочая'!K:K=C32,'Нормативные показатели (рабочая'!L:L=H32,'Нормативные показатели (рабочая'!N:N=""на О"&amp;"РП"",'Нормативные показатели (рабочая'!M:M=""min""),AND(O32&gt;=FILTER('Нормативные показатели (рабочая'!O:O,'Нормативные показатели (рабочая'!K:K=C32,'Нормативные показатели (рабочая'!L:L=H32,'Нормативные показатели (рабочая'!N:N=""на ОРП"",'Нормативные пок"&amp;"азатели (рабочая'!M:M=""min""),O32&lt;=FILTER('Нормативные показатели (рабочая'!O:O,'Нормативные показатели (рабочая'!K:K=C32,'Нормативные показатели (рабочая'!L:L=H32,'Нормативные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(рабочая'!K:K=C32,'Нормативные показатели (рабочая'!L:L=H32,'Нормативные показатели (рабочая'!N:N=""на ОРП"",'Нормативные показатели (рабочая'!M:M=""max"")&lt;O32,(O32-FILTER"&amp;"('Нормативные показатели (рабочая'!O:O,'Нормативные показатели (рабочая'!K:K=C32,'Нормативные показатели (рабочая'!L:L=H32,'Нормативные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(рабочая'!K:K=C32,'Нормативные показатели (рабочая'!L:L=H32,'Нормативные показатели (рабочая'!N:N=""на ОРП"",'Нормативные показатели (рабочая'!M:M=""max"")))"),"нет")</f>
        <v>нет</v>
      </c>
      <c r="R32" s="45">
        <f t="shared" si="2"/>
        <v>0.2772766638</v>
      </c>
      <c r="S32" s="46" t="str">
        <f>IFERROR(__xludf.DUMMYFUNCTION("IFERROR(IF(F32&lt;26,join("" - "",FILTER('Нормативные показатели (рабочая'!$O:$O,'Нормативные показатели (рабочая'!$K:$K=$C32,'Нормативные показатели (рабочая'!$L:$L=$H32,'Нормативные показатели (рабочая'!$N:$N=""на S плиты"")),""нет нормы""))"),"0,22 - 0,3")</f>
        <v>0,22 - 0,3</v>
      </c>
      <c r="T32" s="48" t="str">
        <f>IFERROR(__xludf.DUMMYFUNCTION("IFS(F32&gt;26,""нет нормы"",C32="""","""",C32&lt;&gt;""МКД"",""нет нормы"",H32&lt;&gt;""Типовой"",""нет нормы"", AND(F32&lt;26,C32=""МКД""),ifs(FILTER('Нормативные показатели (рабочая'!O:O,'Нормативные показатели (рабочая'!K:K=C32,'Нормативные показатели (рабочая'!L:L=H32,"&amp;"'Нормативные показатели (рабочая'!N:N=""на S плиты"",'Нормативные показатели (рабочая'!M:M=""min"")&gt;R32,(-1) *(FILTER('Нормативные показатели (рабочая'!O:O,'Нормативные показатели (рабочая'!K:K=C32,'Нормативные показатели (рабочая'!L:L=H32,'Нормативные по"&amp;"казатели (рабочая'!N:N=""на S плиты"",'Нормативные показатели (рабочая'!M:M=""min"")-R32)/FILTER('Нормативные показатели (рабочая'!O:O,'Нормативные показатели (рабочая'!K:K=C32,'Нормативные показатели (рабочая'!L:L=H32,'Нормативные показатели (рабочая'!N:"&amp;"N=""на S плиты"",'Нормативные показатели (рабочая'!M:M=""min""),AND(R32&gt;=FILTER('Нормативные показатели (рабочая'!O:O,'Нормативные показатели (рабочая'!K:K=C32,'Нормативные показатели (рабочая'!L:L=H32,'Нормативные показатели (рабочая'!N:N=""на S плиты"","&amp;"'Нормативные показатели (рабочая'!M:M=""min""),R32&lt;=FILTER('Нормативные показатели (рабочая'!O:O,'Нормативные показатели (рабочая'!K:K=C32,'Нормативные показатели (рабочая'!L:L=H32,'Нормативные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(рабочая'!K:K=C32,'Нормативные показатели (рабочая'!L:L=H32,'Нормативные показатели (рабочая'!N:N=""на S плиты"",'Нормативные показатели (рабочая'!M:M="&amp;"""max"")&lt;R32,(R32-FILTER('Нормативные показатели (рабочая'!O:O,'Нормативные показатели (рабочая'!K:K=C32,'Нормативные показатели (рабочая'!L:L=H32,'Нормативные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(рабочая'!K:K=C32,'Нормативные показатели (рабочая'!L:L=H32,'Нормативные показатели (рабочая'!N:N=""на S плиты"",'Нормативные показатели (рабочая'!M:M=""max"")))"),"нет")</f>
        <v>нет</v>
      </c>
      <c r="U32" s="20" t="s">
        <v>29</v>
      </c>
      <c r="V32" s="25"/>
      <c r="W32" s="25"/>
    </row>
    <row r="33" ht="15.75" customHeight="1">
      <c r="A33" s="16" t="s">
        <v>30</v>
      </c>
      <c r="B33" s="16" t="s">
        <v>34</v>
      </c>
      <c r="C33" s="16" t="s">
        <v>25</v>
      </c>
      <c r="D33" s="16" t="s">
        <v>158</v>
      </c>
      <c r="E33" s="29"/>
      <c r="F33" s="16">
        <v>8.0</v>
      </c>
      <c r="G33" s="16" t="s">
        <v>154</v>
      </c>
      <c r="H33" s="20" t="s">
        <v>152</v>
      </c>
      <c r="I33" s="20" t="s">
        <v>27</v>
      </c>
      <c r="J33" s="50">
        <v>45138.0</v>
      </c>
      <c r="K33" s="16">
        <v>25.0</v>
      </c>
      <c r="L33" s="16">
        <v>182.16</v>
      </c>
      <c r="M33" s="16">
        <v>479.56</v>
      </c>
      <c r="N33" s="16">
        <v>663.5</v>
      </c>
      <c r="O33" s="45">
        <f t="shared" si="3"/>
        <v>0.3798481942</v>
      </c>
      <c r="P33" s="46" t="str">
        <f>IFERROR(__xludf.DUMMYFUNCTION("IFERROR(IF(F33&lt;26, (join("" - "",FILTER('Нормативные показатели (рабочая'!$O:$O,'Нормативные показатели (рабочая'!$K:$K=$C33,'Нормативные показатели (рабочая'!$L:$L=$H33,'Нормативные показатели (рабочая'!$N:$N=""на ОРП""))),""нет нормы""))"),"0,35 - 0,45")</f>
        <v>0,35 - 0,45</v>
      </c>
      <c r="Q33" s="47" t="str">
        <f>IFERROR(__xludf.DUMMYFUNCTION("IFS(F33&gt;26,""нет нормы"",C33="""","""",C33&lt;&gt;""МКД"",""нет нормы"",H33&lt;&gt;""Типовой"",""нет нормы"", AND(F33&lt;26,C33=""МКД""),ifs(FILTER('Нормативные показатели (рабочая'!O:O,'Нормативные показатели (рабочая'!K:K=C33,'Нормативные показатели (рабочая'!L:L=H33,"&amp;"'Нормативные показатели (рабочая'!N:N=""на ОРП"",'Нормативные показатели (рабочая'!M:M=""min"")&gt;O33,(-1) *(FILTER('Нормативные показатели (рабочая'!O:O,'Нормативные показатели (рабочая'!K:K=C33,'Нормативные показатели (рабочая'!L:L=H33,'Нормативные показа"&amp;"тели (рабочая'!N:N=""на ОРП"",'Нормативные показатели (рабочая'!M:M=""min"")-O33)/FILTER('Нормативные показатели (рабочая'!O:O,'Нормативные показатели (рабочая'!K:K=C33,'Нормативные показатели (рабочая'!L:L=H33,'Нормативные показатели (рабочая'!N:N=""на О"&amp;"РП"",'Нормативные показатели (рабочая'!M:M=""min""),AND(O33&gt;=FILTER('Нормативные показатели (рабочая'!O:O,'Нормативные показатели (рабочая'!K:K=C33,'Нормативные показатели (рабочая'!L:L=H33,'Нормативные показатели (рабочая'!N:N=""на ОРП"",'Нормативные пок"&amp;"азатели (рабочая'!M:M=""min""),O33&lt;=FILTER('Нормативные показатели (рабочая'!O:O,'Нормативные показатели (рабочая'!K:K=C33,'Нормативные показатели (рабочая'!L:L=H33,'Нормативные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(рабочая'!K:K=C33,'Нормативные показатели (рабочая'!L:L=H33,'Нормативные показатели (рабочая'!N:N=""на ОРП"",'Нормативные показатели (рабочая'!M:M=""max"")&lt;O33,(O33-FILTER"&amp;"('Нормативные показатели (рабочая'!O:O,'Нормативные показатели (рабочая'!K:K=C33,'Нормативные показатели (рабочая'!L:L=H33,'Нормативные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(рабочая'!K:K=C33,'Нормативные показатели (рабочая'!L:L=H33,'Нормативные показатели (рабочая'!N:N=""на ОРП"",'Нормативные показатели (рабочая'!M:M=""max"")))"),"нет")</f>
        <v>нет</v>
      </c>
      <c r="R33" s="45">
        <f t="shared" si="2"/>
        <v>0.2745440844</v>
      </c>
      <c r="S33" s="46" t="str">
        <f>IFERROR(__xludf.DUMMYFUNCTION("IFERROR(IF(F33&lt;26,join("" - "",FILTER('Нормативные показатели (рабочая'!$O:$O,'Нормативные показатели (рабочая'!$K:$K=$C33,'Нормативные показатели (рабочая'!$L:$L=$H33,'Нормативные показатели (рабочая'!$N:$N=""на S плиты"")),""нет нормы""))"),"0,22 - 0,3")</f>
        <v>0,22 - 0,3</v>
      </c>
      <c r="T33" s="48" t="str">
        <f>IFERROR(__xludf.DUMMYFUNCTION("IFS(F33&gt;26,""нет нормы"",C33="""","""",C33&lt;&gt;""МКД"",""нет нормы"",H33&lt;&gt;""Типовой"",""нет нормы"", AND(F33&lt;26,C33=""МКД""),ifs(FILTER('Нормативные показатели (рабочая'!O:O,'Нормативные показатели (рабочая'!K:K=C33,'Нормативные показатели (рабочая'!L:L=H33,"&amp;"'Нормативные показатели (рабочая'!N:N=""на S плиты"",'Нормативные показатели (рабочая'!M:M=""min"")&gt;R33,(-1) *(FILTER('Нормативные показатели (рабочая'!O:O,'Нормативные показатели (рабочая'!K:K=C33,'Нормативные показатели (рабочая'!L:L=H33,'Нормативные по"&amp;"казатели (рабочая'!N:N=""на S плиты"",'Нормативные показатели (рабочая'!M:M=""min"")-R33)/FILTER('Нормативные показатели (рабочая'!O:O,'Нормативные показатели (рабочая'!K:K=C33,'Нормативные показатели (рабочая'!L:L=H33,'Нормативные показатели (рабочая'!N:"&amp;"N=""на S плиты"",'Нормативные показатели (рабочая'!M:M=""min""),AND(R33&gt;=FILTER('Нормативные показатели (рабочая'!O:O,'Нормативные показатели (рабочая'!K:K=C33,'Нормативные показатели (рабочая'!L:L=H33,'Нормативные показатели (рабочая'!N:N=""на S плиты"","&amp;"'Нормативные показатели (рабочая'!M:M=""min""),R33&lt;=FILTER('Нормативные показатели (рабочая'!O:O,'Нормативные показатели (рабочая'!K:K=C33,'Нормативные показатели (рабочая'!L:L=H33,'Нормативные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(рабочая'!K:K=C33,'Нормативные показатели (рабочая'!L:L=H33,'Нормативные показатели (рабочая'!N:N=""на S плиты"",'Нормативные показатели (рабочая'!M:M="&amp;"""max"")&lt;R33,(R33-FILTER('Нормативные показатели (рабочая'!O:O,'Нормативные показатели (рабочая'!K:K=C33,'Нормативные показатели (рабочая'!L:L=H33,'Нормативные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(рабочая'!K:K=C33,'Нормативные показатели (рабочая'!L:L=H33,'Нормативные показатели (рабочая'!N:N=""на S плиты"",'Нормативные показатели (рабочая'!M:M=""max"")))"),"нет")</f>
        <v>нет</v>
      </c>
      <c r="U33" s="20" t="s">
        <v>29</v>
      </c>
      <c r="V33" s="25"/>
      <c r="W33" s="25"/>
    </row>
    <row r="34" ht="15.75" customHeight="1">
      <c r="A34" s="16" t="s">
        <v>30</v>
      </c>
      <c r="B34" s="16" t="s">
        <v>170</v>
      </c>
      <c r="C34" s="16" t="s">
        <v>25</v>
      </c>
      <c r="D34" s="16" t="s">
        <v>47</v>
      </c>
      <c r="E34" s="29"/>
      <c r="F34" s="16">
        <v>24.0</v>
      </c>
      <c r="G34" s="16" t="s">
        <v>157</v>
      </c>
      <c r="H34" s="20" t="s">
        <v>152</v>
      </c>
      <c r="I34" s="20" t="s">
        <v>27</v>
      </c>
      <c r="J34" s="50">
        <v>45139.0</v>
      </c>
      <c r="K34" s="16">
        <v>30.0</v>
      </c>
      <c r="L34" s="16">
        <v>171.66</v>
      </c>
      <c r="M34" s="16">
        <v>400.18</v>
      </c>
      <c r="N34" s="16">
        <v>573.77</v>
      </c>
      <c r="O34" s="45">
        <f t="shared" si="3"/>
        <v>0.4289569694</v>
      </c>
      <c r="P34" s="46" t="str">
        <f>IFERROR(__xludf.DUMMYFUNCTION("IFERROR(IF(F34&lt;26, (join("" - "",FILTER('Нормативные показатели (рабочая'!$O:$O,'Нормативные показатели (рабочая'!$K:$K=$C34,'Нормативные показатели (рабочая'!$L:$L=$H34,'Нормативные показатели (рабочая'!$N:$N=""на ОРП""))),""нет нормы""))"),"0,35 - 0,45")</f>
        <v>0,35 - 0,45</v>
      </c>
      <c r="Q34" s="47" t="str">
        <f>IFERROR(__xludf.DUMMYFUNCTION("IFS(F34&gt;26,""нет нормы"",C34="""","""",C34&lt;&gt;""МКД"",""нет нормы"",H34&lt;&gt;""Типовой"",""нет нормы"", AND(F34&lt;26,C34=""МКД""),ifs(FILTER('Нормативные показатели (рабочая'!O:O,'Нормативные показатели (рабочая'!K:K=C34,'Нормативные показатели (рабочая'!L:L=H34,"&amp;"'Нормативные показатели (рабочая'!N:N=""на ОРП"",'Нормативные показатели (рабочая'!M:M=""min"")&gt;O34,(-1) *(FILTER('Нормативные показатели (рабочая'!O:O,'Нормативные показатели (рабочая'!K:K=C34,'Нормативные показатели (рабочая'!L:L=H34,'Нормативные показа"&amp;"тели (рабочая'!N:N=""на ОРП"",'Нормативные показатели (рабочая'!M:M=""min"")-O34)/FILTER('Нормативные показатели (рабочая'!O:O,'Нормативные показатели (рабочая'!K:K=C34,'Нормативные показатели (рабочая'!L:L=H34,'Нормативные показатели (рабочая'!N:N=""на О"&amp;"РП"",'Нормативные показатели (рабочая'!M:M=""min""),AND(O34&gt;=FILTER('Нормативные показатели (рабочая'!O:O,'Нормативные показатели (рабочая'!K:K=C34,'Нормативные показатели (рабочая'!L:L=H34,'Нормативные показатели (рабочая'!N:N=""на ОРП"",'Нормативные пок"&amp;"азатели (рабочая'!M:M=""min""),O34&lt;=FILTER('Нормативные показатели (рабочая'!O:O,'Нормативные показатели (рабочая'!K:K=C34,'Нормативные показатели (рабочая'!L:L=H34,'Нормативные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(рабочая'!K:K=C34,'Нормативные показатели (рабочая'!L:L=H34,'Нормативные показатели (рабочая'!N:N=""на ОРП"",'Нормативные показатели (рабочая'!M:M=""max"")&lt;O34,(O34-FILTER"&amp;"('Нормативные показатели (рабочая'!O:O,'Нормативные показатели (рабочая'!K:K=C34,'Нормативные показатели (рабочая'!L:L=H34,'Нормативные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(рабочая'!K:K=C34,'Нормативные показатели (рабочая'!L:L=H34,'Нормативные показатели (рабочая'!N:N=""на ОРП"",'Нормативные показатели (рабочая'!M:M=""max"")))"),"нет")</f>
        <v>нет</v>
      </c>
      <c r="R34" s="45">
        <f t="shared" si="2"/>
        <v>0.2991791136</v>
      </c>
      <c r="S34" s="46" t="str">
        <f>IFERROR(__xludf.DUMMYFUNCTION("IFERROR(IF(F34&lt;26,join("" - "",FILTER('Нормативные показатели (рабочая'!$O:$O,'Нормативные показатели (рабочая'!$K:$K=$C34,'Нормативные показатели (рабочая'!$L:$L=$H34,'Нормативные показатели (рабочая'!$N:$N=""на S плиты"")),""нет нормы""))"),"0,22 - 0,3")</f>
        <v>0,22 - 0,3</v>
      </c>
      <c r="T34" s="48" t="str">
        <f>IFERROR(__xludf.DUMMYFUNCTION("IFS(F34&gt;26,""нет нормы"",C34="""","""",C34&lt;&gt;""МКД"",""нет нормы"",H34&lt;&gt;""Типовой"",""нет нормы"", AND(F34&lt;26,C34=""МКД""),ifs(FILTER('Нормативные показатели (рабочая'!O:O,'Нормативные показатели (рабочая'!K:K=C34,'Нормативные показатели (рабочая'!L:L=H34,"&amp;"'Нормативные показатели (рабочая'!N:N=""на S плиты"",'Нормативные показатели (рабочая'!M:M=""min"")&gt;R34,(-1) *(FILTER('Нормативные показатели (рабочая'!O:O,'Нормативные показатели (рабочая'!K:K=C34,'Нормативные показатели (рабочая'!L:L=H34,'Нормативные по"&amp;"казатели (рабочая'!N:N=""на S плиты"",'Нормативные показатели (рабочая'!M:M=""min"")-R34)/FILTER('Нормативные показатели (рабочая'!O:O,'Нормативные показатели (рабочая'!K:K=C34,'Нормативные показатели (рабочая'!L:L=H34,'Нормативные показатели (рабочая'!N:"&amp;"N=""на S плиты"",'Нормативные показатели (рабочая'!M:M=""min""),AND(R34&gt;=FILTER('Нормативные показатели (рабочая'!O:O,'Нормативные показатели (рабочая'!K:K=C34,'Нормативные показатели (рабочая'!L:L=H34,'Нормативные показатели (рабочая'!N:N=""на S плиты"","&amp;"'Нормативные показатели (рабочая'!M:M=""min""),R34&lt;=FILTER('Нормативные показатели (рабочая'!O:O,'Нормативные показатели (рабочая'!K:K=C34,'Нормативные показатели (рабочая'!L:L=H34,'Нормативные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(рабочая'!K:K=C34,'Нормативные показатели (рабочая'!L:L=H34,'Нормативные показатели (рабочая'!N:N=""на S плиты"",'Нормативные показатели (рабочая'!M:M="&amp;"""max"")&lt;R34,(R34-FILTER('Нормативные показатели (рабочая'!O:O,'Нормативные показатели (рабочая'!K:K=C34,'Нормативные показатели (рабочая'!L:L=H34,'Нормативные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(рабочая'!K:K=C34,'Нормативные показатели (рабочая'!L:L=H34,'Нормативные показатели (рабочая'!N:N=""на S плиты"",'Нормативные показатели (рабочая'!M:M=""max"")))"),"нет")</f>
        <v>нет</v>
      </c>
      <c r="U34" s="20" t="s">
        <v>29</v>
      </c>
      <c r="V34" s="25"/>
      <c r="W34" s="25"/>
    </row>
    <row r="35" ht="15.75" customHeight="1">
      <c r="A35" s="16" t="s">
        <v>30</v>
      </c>
      <c r="B35" s="16" t="s">
        <v>170</v>
      </c>
      <c r="C35" s="16" t="s">
        <v>25</v>
      </c>
      <c r="D35" s="16" t="s">
        <v>43</v>
      </c>
      <c r="E35" s="29"/>
      <c r="F35" s="16">
        <v>10.0</v>
      </c>
      <c r="G35" s="16" t="s">
        <v>157</v>
      </c>
      <c r="H35" s="20" t="s">
        <v>152</v>
      </c>
      <c r="I35" s="20" t="s">
        <v>27</v>
      </c>
      <c r="J35" s="50">
        <v>45139.0</v>
      </c>
      <c r="K35" s="16">
        <v>30.0</v>
      </c>
      <c r="L35" s="16">
        <v>198.28</v>
      </c>
      <c r="M35" s="16">
        <v>488.16</v>
      </c>
      <c r="N35" s="16">
        <v>726.2</v>
      </c>
      <c r="O35" s="45">
        <f t="shared" si="3"/>
        <v>0.4061783022</v>
      </c>
      <c r="P35" s="46" t="str">
        <f>IFERROR(__xludf.DUMMYFUNCTION("IFERROR(IF(F35&lt;26, (join("" - "",FILTER('Нормативные показатели (рабочая'!$O:$O,'Нормативные показатели (рабочая'!$K:$K=$C35,'Нормативные показатели (рабочая'!$L:$L=$H35,'Нормативные показатели (рабочая'!$N:$N=""на ОРП""))),""нет нормы""))"),"0,35 - 0,45")</f>
        <v>0,35 - 0,45</v>
      </c>
      <c r="Q35" s="47" t="str">
        <f>IFERROR(__xludf.DUMMYFUNCTION("IFS(F35&gt;26,""нет нормы"",C35="""","""",C35&lt;&gt;""МКД"",""нет нормы"",H35&lt;&gt;""Типовой"",""нет нормы"", AND(F35&lt;26,C35=""МКД""),ifs(FILTER('Нормативные показатели (рабочая'!O:O,'Нормативные показатели (рабочая'!K:K=C35,'Нормативные показатели (рабочая'!L:L=H35,"&amp;"'Нормативные показатели (рабочая'!N:N=""на ОРП"",'Нормативные показатели (рабочая'!M:M=""min"")&gt;O35,(-1) *(FILTER('Нормативные показатели (рабочая'!O:O,'Нормативные показатели (рабочая'!K:K=C35,'Нормативные показатели (рабочая'!L:L=H35,'Нормативные показа"&amp;"тели (рабочая'!N:N=""на ОРП"",'Нормативные показатели (рабочая'!M:M=""min"")-O35)/FILTER('Нормативные показатели (рабочая'!O:O,'Нормативные показатели (рабочая'!K:K=C35,'Нормативные показатели (рабочая'!L:L=H35,'Нормативные показатели (рабочая'!N:N=""на О"&amp;"РП"",'Нормативные показатели (рабочая'!M:M=""min""),AND(O35&gt;=FILTER('Нормативные показатели (рабочая'!O:O,'Нормативные показатели (рабочая'!K:K=C35,'Нормативные показатели (рабочая'!L:L=H35,'Нормативные показатели (рабочая'!N:N=""на ОРП"",'Нормативные пок"&amp;"азатели (рабочая'!M:M=""min""),O35&lt;=FILTER('Нормативные показатели (рабочая'!O:O,'Нормативные показатели (рабочая'!K:K=C35,'Нормативные показатели (рабочая'!L:L=H35,'Нормативные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(рабочая'!K:K=C35,'Нормативные показатели (рабочая'!L:L=H35,'Нормативные показатели (рабочая'!N:N=""на ОРП"",'Нормативные показатели (рабочая'!M:M=""max"")&lt;O35,(O35-FILTER"&amp;"('Нормативные показатели (рабочая'!O:O,'Нормативные показатели (рабочая'!K:K=C35,'Нормативные показатели (рабочая'!L:L=H35,'Нормативные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(рабочая'!K:K=C35,'Нормативные показатели (рабочая'!L:L=H35,'Нормативные показатели (рабочая'!N:N=""на ОРП"",'Нормативные показатели (рабочая'!M:M=""max"")))"),"нет")</f>
        <v>нет</v>
      </c>
      <c r="R35" s="45">
        <f t="shared" si="2"/>
        <v>0.2730377307</v>
      </c>
      <c r="S35" s="46" t="str">
        <f>IFERROR(__xludf.DUMMYFUNCTION("IFERROR(IF(F35&lt;26,join("" - "",FILTER('Нормативные показатели (рабочая'!$O:$O,'Нормативные показатели (рабочая'!$K:$K=$C35,'Нормативные показатели (рабочая'!$L:$L=$H35,'Нормативные показатели (рабочая'!$N:$N=""на S плиты"")),""нет нормы""))"),"0,22 - 0,3")</f>
        <v>0,22 - 0,3</v>
      </c>
      <c r="T35" s="48" t="str">
        <f>IFERROR(__xludf.DUMMYFUNCTION("IFS(F35&gt;26,""нет нормы"",C35="""","""",C35&lt;&gt;""МКД"",""нет нормы"",H35&lt;&gt;""Типовой"",""нет нормы"", AND(F35&lt;26,C35=""МКД""),ifs(FILTER('Нормативные показатели (рабочая'!O:O,'Нормативные показатели (рабочая'!K:K=C35,'Нормативные показатели (рабочая'!L:L=H35,"&amp;"'Нормативные показатели (рабочая'!N:N=""на S плиты"",'Нормативные показатели (рабочая'!M:M=""min"")&gt;R35,(-1) *(FILTER('Нормативные показатели (рабочая'!O:O,'Нормативные показатели (рабочая'!K:K=C35,'Нормативные показатели (рабочая'!L:L=H35,'Нормативные по"&amp;"казатели (рабочая'!N:N=""на S плиты"",'Нормативные показатели (рабочая'!M:M=""min"")-R35)/FILTER('Нормативные показатели (рабочая'!O:O,'Нормативные показатели (рабочая'!K:K=C35,'Нормативные показатели (рабочая'!L:L=H35,'Нормативные показатели (рабочая'!N:"&amp;"N=""на S плиты"",'Нормативные показатели (рабочая'!M:M=""min""),AND(R35&gt;=FILTER('Нормативные показатели (рабочая'!O:O,'Нормативные показатели (рабочая'!K:K=C35,'Нормативные показатели (рабочая'!L:L=H35,'Нормативные показатели (рабочая'!N:N=""на S плиты"","&amp;"'Нормативные показатели (рабочая'!M:M=""min""),R35&lt;=FILTER('Нормативные показатели (рабочая'!O:O,'Нормативные показатели (рабочая'!K:K=C35,'Нормативные показатели (рабочая'!L:L=H35,'Нормативные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(рабочая'!K:K=C35,'Нормативные показатели (рабочая'!L:L=H35,'Нормативные показатели (рабочая'!N:N=""на S плиты"",'Нормативные показатели (рабочая'!M:M="&amp;"""max"")&lt;R35,(R35-FILTER('Нормативные показатели (рабочая'!O:O,'Нормативные показатели (рабочая'!K:K=C35,'Нормативные показатели (рабочая'!L:L=H35,'Нормативные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(рабочая'!K:K=C35,'Нормативные показатели (рабочая'!L:L=H35,'Нормативные показатели (рабочая'!N:N=""на S плиты"",'Нормативные показатели (рабочая'!M:M=""max"")))"),"нет")</f>
        <v>нет</v>
      </c>
      <c r="U35" s="20" t="s">
        <v>29</v>
      </c>
      <c r="V35" s="25"/>
      <c r="W35" s="25"/>
    </row>
    <row r="36" ht="15.75" customHeight="1">
      <c r="A36" s="16" t="s">
        <v>30</v>
      </c>
      <c r="B36" s="16" t="s">
        <v>170</v>
      </c>
      <c r="C36" s="16" t="s">
        <v>25</v>
      </c>
      <c r="D36" s="16" t="s">
        <v>171</v>
      </c>
      <c r="E36" s="29"/>
      <c r="F36" s="16">
        <v>13.0</v>
      </c>
      <c r="G36" s="16" t="s">
        <v>157</v>
      </c>
      <c r="H36" s="20" t="s">
        <v>152</v>
      </c>
      <c r="I36" s="20" t="s">
        <v>27</v>
      </c>
      <c r="J36" s="50">
        <v>45139.0</v>
      </c>
      <c r="K36" s="16">
        <v>30.0</v>
      </c>
      <c r="L36" s="16">
        <v>233.92</v>
      </c>
      <c r="M36" s="16">
        <v>582.74</v>
      </c>
      <c r="N36" s="16">
        <v>815.78</v>
      </c>
      <c r="O36" s="45">
        <f t="shared" si="3"/>
        <v>0.4014140097</v>
      </c>
      <c r="P36" s="46" t="str">
        <f>IFERROR(__xludf.DUMMYFUNCTION("IFERROR(IF(F36&lt;26, (join("" - "",FILTER('Нормативные показатели (рабочая'!$O:$O,'Нормативные показатели (рабочая'!$K:$K=$C36,'Нормативные показатели (рабочая'!$L:$L=$H36,'Нормативные показатели (рабочая'!$N:$N=""на ОРП""))),""нет нормы""))"),"0,35 - 0,45")</f>
        <v>0,35 - 0,45</v>
      </c>
      <c r="Q36" s="47" t="str">
        <f>IFERROR(__xludf.DUMMYFUNCTION("IFS(F36&gt;26,""нет нормы"",C36="""","""",C36&lt;&gt;""МКД"",""нет нормы"",H36&lt;&gt;""Типовой"",""нет нормы"", AND(F36&lt;26,C36=""МКД""),ifs(FILTER('Нормативные показатели (рабочая'!O:O,'Нормативные показатели (рабочая'!K:K=C36,'Нормативные показатели (рабочая'!L:L=H36,"&amp;"'Нормативные показатели (рабочая'!N:N=""на ОРП"",'Нормативные показатели (рабочая'!M:M=""min"")&gt;O36,(-1) *(FILTER('Нормативные показатели (рабочая'!O:O,'Нормативные показатели (рабочая'!K:K=C36,'Нормативные показатели (рабочая'!L:L=H36,'Нормативные показа"&amp;"тели (рабочая'!N:N=""на ОРП"",'Нормативные показатели (рабочая'!M:M=""min"")-O36)/FILTER('Нормативные показатели (рабочая'!O:O,'Нормативные показатели (рабочая'!K:K=C36,'Нормативные показатели (рабочая'!L:L=H36,'Нормативные показатели (рабочая'!N:N=""на О"&amp;"РП"",'Нормативные показатели (рабочая'!M:M=""min""),AND(O36&gt;=FILTER('Нормативные показатели (рабочая'!O:O,'Нормативные показатели (рабочая'!K:K=C36,'Нормативные показатели (рабочая'!L:L=H36,'Нормативные показатели (рабочая'!N:N=""на ОРП"",'Нормативные пок"&amp;"азатели (рабочая'!M:M=""min""),O36&lt;=FILTER('Нормативные показатели (рабочая'!O:O,'Нормативные показатели (рабочая'!K:K=C36,'Нормативные показатели (рабочая'!L:L=H36,'Нормативные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(рабочая'!K:K=C36,'Нормативные показатели (рабочая'!L:L=H36,'Нормативные показатели (рабочая'!N:N=""на ОРП"",'Нормативные показатели (рабочая'!M:M=""max"")&lt;O36,(O36-FILTER"&amp;"('Нормативные показатели (рабочая'!O:O,'Нормативные показатели (рабочая'!K:K=C36,'Нормативные показатели (рабочая'!L:L=H36,'Нормативные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(рабочая'!K:K=C36,'Нормативные показатели (рабочая'!L:L=H36,'Нормативные показатели (рабочая'!N:N=""на ОРП"",'Нормативные показатели (рабочая'!M:M=""max"")))"),"нет")</f>
        <v>нет</v>
      </c>
      <c r="R36" s="45">
        <f t="shared" si="2"/>
        <v>0.2867439751</v>
      </c>
      <c r="S36" s="46" t="str">
        <f>IFERROR(__xludf.DUMMYFUNCTION("IFERROR(IF(F36&lt;26,join("" - "",FILTER('Нормативные показатели (рабочая'!$O:$O,'Нормативные показатели (рабочая'!$K:$K=$C36,'Нормативные показатели (рабочая'!$L:$L=$H36,'Нормативные показатели (рабочая'!$N:$N=""на S плиты"")),""нет нормы""))"),"0,22 - 0,3")</f>
        <v>0,22 - 0,3</v>
      </c>
      <c r="T36" s="48" t="str">
        <f>IFERROR(__xludf.DUMMYFUNCTION("IFS(F36&gt;26,""нет нормы"",C36="""","""",C36&lt;&gt;""МКД"",""нет нормы"",H36&lt;&gt;""Типовой"",""нет нормы"", AND(F36&lt;26,C36=""МКД""),ifs(FILTER('Нормативные показатели (рабочая'!O:O,'Нормативные показатели (рабочая'!K:K=C36,'Нормативные показатели (рабочая'!L:L=H36,"&amp;"'Нормативные показатели (рабочая'!N:N=""на S плиты"",'Нормативные показатели (рабочая'!M:M=""min"")&gt;R36,(-1) *(FILTER('Нормативные показатели (рабочая'!O:O,'Нормативные показатели (рабочая'!K:K=C36,'Нормативные показатели (рабочая'!L:L=H36,'Нормативные по"&amp;"казатели (рабочая'!N:N=""на S плиты"",'Нормативные показатели (рабочая'!M:M=""min"")-R36)/FILTER('Нормативные показатели (рабочая'!O:O,'Нормативные показатели (рабочая'!K:K=C36,'Нормативные показатели (рабочая'!L:L=H36,'Нормативные показатели (рабочая'!N:"&amp;"N=""на S плиты"",'Нормативные показатели (рабочая'!M:M=""min""),AND(R36&gt;=FILTER('Нормативные показатели (рабочая'!O:O,'Нормативные показатели (рабочая'!K:K=C36,'Нормативные показатели (рабочая'!L:L=H36,'Нормативные показатели (рабочая'!N:N=""на S плиты"","&amp;"'Нормативные показатели (рабочая'!M:M=""min""),R36&lt;=FILTER('Нормативные показатели (рабочая'!O:O,'Нормативные показатели (рабочая'!K:K=C36,'Нормативные показатели (рабочая'!L:L=H36,'Нормативные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(рабочая'!K:K=C36,'Нормативные показатели (рабочая'!L:L=H36,'Нормативные показатели (рабочая'!N:N=""на S плиты"",'Нормативные показатели (рабочая'!M:M="&amp;"""max"")&lt;R36,(R36-FILTER('Нормативные показатели (рабочая'!O:O,'Нормативные показатели (рабочая'!K:K=C36,'Нормативные показатели (рабочая'!L:L=H36,'Нормативные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(рабочая'!K:K=C36,'Нормативные показатели (рабочая'!L:L=H36,'Нормативные показатели (рабочая'!N:N=""на S плиты"",'Нормативные показатели (рабочая'!M:M=""max"")))"),"нет")</f>
        <v>нет</v>
      </c>
      <c r="U36" s="20" t="s">
        <v>29</v>
      </c>
      <c r="V36" s="25"/>
      <c r="W36" s="25"/>
    </row>
    <row r="37" ht="15.75" customHeight="1">
      <c r="A37" s="16" t="s">
        <v>30</v>
      </c>
      <c r="B37" s="16" t="s">
        <v>170</v>
      </c>
      <c r="C37" s="16" t="s">
        <v>166</v>
      </c>
      <c r="D37" s="16" t="s">
        <v>172</v>
      </c>
      <c r="E37" s="29"/>
      <c r="F37" s="16">
        <v>7.0</v>
      </c>
      <c r="G37" s="16" t="s">
        <v>157</v>
      </c>
      <c r="H37" s="20" t="s">
        <v>152</v>
      </c>
      <c r="I37" s="20" t="s">
        <v>27</v>
      </c>
      <c r="J37" s="50">
        <v>45139.0</v>
      </c>
      <c r="K37" s="16">
        <v>30.0</v>
      </c>
      <c r="L37" s="16">
        <v>535.52</v>
      </c>
      <c r="M37" s="16">
        <v>0.0</v>
      </c>
      <c r="N37" s="16">
        <v>1798.0</v>
      </c>
      <c r="O37" s="45" t="str">
        <f t="shared" si="3"/>
        <v>н-н</v>
      </c>
      <c r="P37" s="46" t="str">
        <f>IFERROR(__xludf.DUMMYFUNCTION("IFERROR(IF(F37&lt;26, (join("" - "",FILTER('Нормативные показатели (рабочая'!$O:$O,'Нормативные показатели (рабочая'!$K:$K=$C37,'Нормативные показатели (рабочая'!$L:$L=$H37,'Нормативные показатели (рабочая'!$N:$N=""на ОРП""))),""нет нормы""))"),"н - н")</f>
        <v>н - н</v>
      </c>
      <c r="Q37" s="47" t="str">
        <f>IFERROR(__xludf.DUMMYFUNCTION("IFS(F37&gt;26,""нет нормы"",C37="""","""",C37&lt;&gt;""МКД"",""нет нормы"",H37&lt;&gt;""Типовой"",""нет нормы"", AND(F37&lt;26,C37=""МКД""),ifs(FILTER('Нормативные показатели (рабочая'!O:O,'Нормативные показатели (рабочая'!K:K=C37,'Нормативные показатели (рабочая'!L:L=H37,"&amp;"'Нормативные показатели (рабочая'!N:N=""на ОРП"",'Нормативные показатели (рабочая'!M:M=""min"")&gt;O37,(-1) *(FILTER('Нормативные показатели (рабочая'!O:O,'Нормативные показатели (рабочая'!K:K=C37,'Нормативные показатели (рабочая'!L:L=H37,'Нормативные показа"&amp;"тели (рабочая'!N:N=""на ОРП"",'Нормативные показатели (рабочая'!M:M=""min"")-O37)/FILTER('Нормативные показатели (рабочая'!O:O,'Нормативные показатели (рабочая'!K:K=C37,'Нормативные показатели (рабочая'!L:L=H37,'Нормативные показатели (рабочая'!N:N=""на О"&amp;"РП"",'Нормативные показатели (рабочая'!M:M=""min""),AND(O37&gt;=FILTER('Нормативные показатели (рабочая'!O:O,'Нормативные показатели (рабочая'!K:K=C37,'Нормативные показатели (рабочая'!L:L=H37,'Нормативные показатели (рабочая'!N:N=""на ОРП"",'Нормативные пок"&amp;"азатели (рабочая'!M:M=""min""),O37&lt;=FILTER('Нормативные показатели (рабочая'!O:O,'Нормативные показатели (рабочая'!K:K=C37,'Нормативные показатели (рабочая'!L:L=H37,'Нормативные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(рабочая'!K:K=C37,'Нормативные показатели (рабочая'!L:L=H37,'Нормативные показатели (рабочая'!N:N=""на ОРП"",'Нормативные показатели (рабочая'!M:M=""max"")&lt;O37,(O37-FILTER"&amp;"('Нормативные показатели (рабочая'!O:O,'Нормативные показатели (рабочая'!K:K=C37,'Нормативные показатели (рабочая'!L:L=H37,'Нормативные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(рабочая'!K:K=C37,'Нормативные показатели (рабочая'!L:L=H37,'Нормативные показатели (рабочая'!N:N=""на ОРП"",'Нормативные показатели (рабочая'!M:M=""max"")))"),"нет нормы")</f>
        <v>нет нормы</v>
      </c>
      <c r="R37" s="45">
        <f t="shared" si="2"/>
        <v>0.2978420467</v>
      </c>
      <c r="S37" s="46" t="str">
        <f>IFERROR(__xludf.DUMMYFUNCTION("IFERROR(IF(F37&lt;26,join("" - "",FILTER('Нормативные показатели (рабочая'!$O:$O,'Нормативные показатели (рабочая'!$K:$K=$C37,'Нормативные показатели (рабочая'!$L:$L=$H37,'Нормативные показатели (рабочая'!$N:$N=""на S плиты"")),""нет нормы""))"),"н - н")</f>
        <v>н - н</v>
      </c>
      <c r="T37" s="48" t="str">
        <f>IFERROR(__xludf.DUMMYFUNCTION("IFS(F37&gt;26,""нет нормы"",C37="""","""",C37&lt;&gt;""МКД"",""нет нормы"",H37&lt;&gt;""Типовой"",""нет нормы"", AND(F37&lt;26,C37=""МКД""),ifs(FILTER('Нормативные показатели (рабочая'!O:O,'Нормативные показатели (рабочая'!K:K=C37,'Нормативные показатели (рабочая'!L:L=H37,"&amp;"'Нормативные показатели (рабочая'!N:N=""на S плиты"",'Нормативные показатели (рабочая'!M:M=""min"")&gt;R37,(-1) *(FILTER('Нормативные показатели (рабочая'!O:O,'Нормативные показатели (рабочая'!K:K=C37,'Нормативные показатели (рабочая'!L:L=H37,'Нормативные по"&amp;"казатели (рабочая'!N:N=""на S плиты"",'Нормативные показатели (рабочая'!M:M=""min"")-R37)/FILTER('Нормативные показатели (рабочая'!O:O,'Нормативные показатели (рабочая'!K:K=C37,'Нормативные показатели (рабочая'!L:L=H37,'Нормативные показатели (рабочая'!N:"&amp;"N=""на S плиты"",'Нормативные показатели (рабочая'!M:M=""min""),AND(R37&gt;=FILTER('Нормативные показатели (рабочая'!O:O,'Нормативные показатели (рабочая'!K:K=C37,'Нормативные показатели (рабочая'!L:L=H37,'Нормативные показатели (рабочая'!N:N=""на S плиты"","&amp;"'Нормативные показатели (рабочая'!M:M=""min""),R37&lt;=FILTER('Нормативные показатели (рабочая'!O:O,'Нормативные показатели (рабочая'!K:K=C37,'Нормативные показатели (рабочая'!L:L=H37,'Нормативные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(рабочая'!K:K=C37,'Нормативные показатели (рабочая'!L:L=H37,'Нормативные показатели (рабочая'!N:N=""на S плиты"",'Нормативные показатели (рабочая'!M:M="&amp;"""max"")&lt;R37,(R37-FILTER('Нормативные показатели (рабочая'!O:O,'Нормативные показатели (рабочая'!K:K=C37,'Нормативные показатели (рабочая'!L:L=H37,'Нормативные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(рабочая'!K:K=C37,'Нормативные показатели (рабочая'!L:L=H37,'Нормативные показатели (рабочая'!N:N=""на S плиты"",'Нормативные показатели (рабочая'!M:M=""max"")))"),"нет нормы")</f>
        <v>нет нормы</v>
      </c>
      <c r="U37" s="20" t="s">
        <v>29</v>
      </c>
      <c r="V37" s="25"/>
      <c r="W37" s="25"/>
    </row>
    <row r="38" ht="15.75" customHeight="1">
      <c r="A38" s="29"/>
      <c r="B38" s="16"/>
      <c r="C38" s="29"/>
      <c r="D38" s="29"/>
      <c r="E38" s="29"/>
      <c r="F38" s="29"/>
      <c r="G38" s="29"/>
      <c r="H38" s="41"/>
      <c r="I38" s="41"/>
      <c r="J38" s="51"/>
      <c r="K38" s="29"/>
      <c r="L38" s="29"/>
      <c r="M38" s="29"/>
      <c r="N38" s="29"/>
      <c r="O38" s="45" t="str">
        <f t="shared" si="3"/>
        <v/>
      </c>
      <c r="P38" s="52"/>
      <c r="Q38" s="47" t="str">
        <f>IFERROR(__xludf.DUMMYFUNCTION("IFS(F38&gt;26,""нет нормы"",C38="""","""",C38&lt;&gt;""МКД"",""нет нормы"",H38&lt;&gt;""Типовой"",""нет нормы"", AND(F38&lt;26,C38=""МКД""),ifs(FILTER('Нормативные показатели (рабочая'!O:O,'Нормативные показатели (рабочая'!K:K=C38,'Нормативные показатели (рабочая'!L:L=H38,"&amp;"'Нормативные показатели (рабочая'!N:N=""на ОРП"",'Нормативные показатели (рабочая'!M:M=""min"")&gt;O38,(-1) *(FILTER('Нормативные показатели (рабочая'!O:O,'Нормативные показатели (рабочая'!K:K=C38,'Нормативные показатели (рабочая'!L:L=H38,'Нормативные показа"&amp;"тели (рабочая'!N:N=""на ОРП"",'Нормативные показатели (рабочая'!M:M=""min"")-O38)/FILTER('Нормативные показатели (рабочая'!O:O,'Нормативные показатели (рабочая'!K:K=C38,'Нормативные показатели (рабочая'!L:L=H38,'Нормативные показатели (рабочая'!N:N=""на О"&amp;"РП"",'Нормативные показатели (рабочая'!M:M=""min""),AND(O38&gt;=FILTER('Нормативные показатели (рабочая'!O:O,'Нормативные показатели (рабочая'!K:K=C38,'Нормативные показатели (рабочая'!L:L=H38,'Нормативные показатели (рабочая'!N:N=""на ОРП"",'Нормативные пок"&amp;"азатели (рабочая'!M:M=""min""),O38&lt;=FILTER('Нормативные показатели (рабочая'!O:O,'Нормативные показатели (рабочая'!K:K=C38,'Нормативные показатели (рабочая'!L:L=H38,'Нормативные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(рабочая'!K:K=C38,'Нормативные показатели (рабочая'!L:L=H38,'Нормативные показатели (рабочая'!N:N=""на ОРП"",'Нормативные показатели (рабочая'!M:M=""max"")&lt;O38,(O38-FILTER"&amp;"('Нормативные показатели (рабочая'!O:O,'Нормативные показатели (рабочая'!K:K=C38,'Нормативные показатели (рабочая'!L:L=H38,'Нормативные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(рабочая'!K:K=C38,'Нормативные показатели (рабочая'!L:L=H38,'Нормативные показатели (рабочая'!N:N=""на ОРП"",'Нормативные показатели (рабочая'!M:M=""max"")))"),"")</f>
        <v/>
      </c>
      <c r="R38" s="53"/>
      <c r="S38" s="52"/>
      <c r="T38" s="48" t="str">
        <f>IFERROR(__xludf.DUMMYFUNCTION("IFS(F38&gt;26,""нет нормы"",C38="""","""",C38&lt;&gt;""МКД"",""нет нормы"",H38&lt;&gt;""Типовой"",""нет нормы"", AND(F38&lt;26,C38=""МКД""),ifs(FILTER('Нормативные показатели (рабочая'!O:O,'Нормативные показатели (рабочая'!K:K=C38,'Нормативные показатели (рабочая'!L:L=H38,"&amp;"'Нормативные показатели (рабочая'!N:N=""на S плиты"",'Нормативные показатели (рабочая'!M:M=""min"")&gt;R38,(-1) *(FILTER('Нормативные показатели (рабочая'!O:O,'Нормативные показатели (рабочая'!K:K=C38,'Нормативные показатели (рабочая'!L:L=H38,'Нормативные по"&amp;"казатели (рабочая'!N:N=""на S плиты"",'Нормативные показатели (рабочая'!M:M=""min"")-R38)/FILTER('Нормативные показатели (рабочая'!O:O,'Нормативные показатели (рабочая'!K:K=C38,'Нормативные показатели (рабочая'!L:L=H38,'Нормативные показатели (рабочая'!N:"&amp;"N=""на S плиты"",'Нормативные показатели (рабочая'!M:M=""min""),AND(R38&gt;=FILTER('Нормативные показатели (рабочая'!O:O,'Нормативные показатели (рабочая'!K:K=C38,'Нормативные показатели (рабочая'!L:L=H38,'Нормативные показатели (рабочая'!N:N=""на S плиты"","&amp;"'Нормативные показатели (рабочая'!M:M=""min""),R38&lt;=FILTER('Нормативные показатели (рабочая'!O:O,'Нормативные показатели (рабочая'!K:K=C38,'Нормативные показатели (рабочая'!L:L=H38,'Нормативные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(рабочая'!K:K=C38,'Нормативные показатели (рабочая'!L:L=H38,'Нормативные показатели (рабочая'!N:N=""на S плиты"",'Нормативные показатели (рабочая'!M:M="&amp;"""max"")&lt;R38,(R38-FILTER('Нормативные показатели (рабочая'!O:O,'Нормативные показатели (рабочая'!K:K=C38,'Нормативные показатели (рабочая'!L:L=H38,'Нормативные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(рабочая'!K:K=C38,'Нормативные показатели (рабочая'!L:L=H38,'Нормативные показатели (рабочая'!N:N=""на S плиты"",'Нормативные показатели (рабочая'!M:M=""max"")))"),"")</f>
        <v/>
      </c>
      <c r="U38" s="20"/>
      <c r="V38" s="25"/>
      <c r="W38" s="25"/>
    </row>
    <row r="39" ht="15.75" customHeight="1">
      <c r="A39" s="29"/>
      <c r="B39" s="16"/>
      <c r="C39" s="29"/>
      <c r="D39" s="29"/>
      <c r="E39" s="29"/>
      <c r="F39" s="29"/>
      <c r="G39" s="29"/>
      <c r="H39" s="41"/>
      <c r="I39" s="41"/>
      <c r="J39" s="51"/>
      <c r="K39" s="29"/>
      <c r="L39" s="29"/>
      <c r="M39" s="29"/>
      <c r="N39" s="29"/>
      <c r="O39" s="45" t="str">
        <f t="shared" si="3"/>
        <v/>
      </c>
      <c r="P39" s="52"/>
      <c r="Q39" s="47" t="str">
        <f>IFERROR(__xludf.DUMMYFUNCTION("IFS(F39&gt;26,""нет нормы"",C39="""","""",C39&lt;&gt;""МКД"",""нет нормы"",H39&lt;&gt;""Типовой"",""нет нормы"", AND(F39&lt;26,C39=""МКД""),ifs(FILTER('Нормативные показатели (рабочая'!O:O,'Нормативные показатели (рабочая'!K:K=C39,'Нормативные показатели (рабочая'!L:L=H39,"&amp;"'Нормативные показатели (рабочая'!N:N=""на ОРП"",'Нормативные показатели (рабочая'!M:M=""min"")&gt;O39,(-1) *(FILTER('Нормативные показатели (рабочая'!O:O,'Нормативные показатели (рабочая'!K:K=C39,'Нормативные показатели (рабочая'!L:L=H39,'Нормативные показа"&amp;"тели (рабочая'!N:N=""на ОРП"",'Нормативные показатели (рабочая'!M:M=""min"")-O39)/FILTER('Нормативные показатели (рабочая'!O:O,'Нормативные показатели (рабочая'!K:K=C39,'Нормативные показатели (рабочая'!L:L=H39,'Нормативные показатели (рабочая'!N:N=""на О"&amp;"РП"",'Нормативные показатели (рабочая'!M:M=""min""),AND(O39&gt;=FILTER('Нормативные показатели (рабочая'!O:O,'Нормативные показатели (рабочая'!K:K=C39,'Нормативные показатели (рабочая'!L:L=H39,'Нормативные показатели (рабочая'!N:N=""на ОРП"",'Нормативные пок"&amp;"азатели (рабочая'!M:M=""min""),O39&lt;=FILTER('Нормативные показатели (рабочая'!O:O,'Нормативные показатели (рабочая'!K:K=C39,'Нормативные показатели (рабочая'!L:L=H39,'Нормативные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(рабочая'!K:K=C39,'Нормативные показатели (рабочая'!L:L=H39,'Нормативные показатели (рабочая'!N:N=""на ОРП"",'Нормативные показатели (рабочая'!M:M=""max"")&lt;O39,(O39-FILTER"&amp;"('Нормативные показатели (рабочая'!O:O,'Нормативные показатели (рабочая'!K:K=C39,'Нормативные показатели (рабочая'!L:L=H39,'Нормативные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(рабочая'!K:K=C39,'Нормативные показатели (рабочая'!L:L=H39,'Нормативные показатели (рабочая'!N:N=""на ОРП"",'Нормативные показатели (рабочая'!M:M=""max"")))"),"")</f>
        <v/>
      </c>
      <c r="R39" s="53"/>
      <c r="S39" s="52"/>
      <c r="T39" s="48" t="str">
        <f>IFERROR(__xludf.DUMMYFUNCTION("IFS(F39&gt;26,""нет нормы"",C39="""","""",C39&lt;&gt;""МКД"",""нет нормы"",H39&lt;&gt;""Типовой"",""нет нормы"", AND(F39&lt;26,C39=""МКД""),ifs(FILTER('Нормативные показатели (рабочая'!O:O,'Нормативные показатели (рабочая'!K:K=C39,'Нормативные показатели (рабочая'!L:L=H39,"&amp;"'Нормативные показатели (рабочая'!N:N=""на S плиты"",'Нормативные показатели (рабочая'!M:M=""min"")&gt;R39,(-1) *(FILTER('Нормативные показатели (рабочая'!O:O,'Нормативные показатели (рабочая'!K:K=C39,'Нормативные показатели (рабочая'!L:L=H39,'Нормативные по"&amp;"казатели (рабочая'!N:N=""на S плиты"",'Нормативные показатели (рабочая'!M:M=""min"")-R39)/FILTER('Нормативные показатели (рабочая'!O:O,'Нормативные показатели (рабочая'!K:K=C39,'Нормативные показатели (рабочая'!L:L=H39,'Нормативные показатели (рабочая'!N:"&amp;"N=""на S плиты"",'Нормативные показатели (рабочая'!M:M=""min""),AND(R39&gt;=FILTER('Нормативные показатели (рабочая'!O:O,'Нормативные показатели (рабочая'!K:K=C39,'Нормативные показатели (рабочая'!L:L=H39,'Нормативные показатели (рабочая'!N:N=""на S плиты"","&amp;"'Нормативные показатели (рабочая'!M:M=""min""),R39&lt;=FILTER('Нормативные показатели (рабочая'!O:O,'Нормативные показатели (рабочая'!K:K=C39,'Нормативные показатели (рабочая'!L:L=H39,'Нормативные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(рабочая'!K:K=C39,'Нормативные показатели (рабочая'!L:L=H39,'Нормативные показатели (рабочая'!N:N=""на S плиты"",'Нормативные показатели (рабочая'!M:M="&amp;"""max"")&lt;R39,(R39-FILTER('Нормативные показатели (рабочая'!O:O,'Нормативные показатели (рабочая'!K:K=C39,'Нормативные показатели (рабочая'!L:L=H39,'Нормативные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(рабочая'!K:K=C39,'Нормативные показатели (рабочая'!L:L=H39,'Нормативные показатели (рабочая'!N:N=""на S плиты"",'Нормативные показатели (рабочая'!M:M=""max"")))"),"")</f>
        <v/>
      </c>
      <c r="U39" s="20"/>
      <c r="V39" s="25"/>
      <c r="W39" s="25"/>
    </row>
    <row r="40" ht="15.75" customHeight="1">
      <c r="A40" s="29"/>
      <c r="B40" s="16"/>
      <c r="C40" s="29"/>
      <c r="D40" s="29"/>
      <c r="E40" s="29"/>
      <c r="F40" s="29"/>
      <c r="G40" s="29"/>
      <c r="H40" s="41"/>
      <c r="I40" s="41"/>
      <c r="J40" s="51"/>
      <c r="K40" s="29"/>
      <c r="L40" s="29"/>
      <c r="M40" s="29"/>
      <c r="N40" s="29"/>
      <c r="O40" s="45" t="str">
        <f t="shared" si="3"/>
        <v/>
      </c>
      <c r="P40" s="52"/>
      <c r="Q40" s="47" t="str">
        <f>IFERROR(__xludf.DUMMYFUNCTION("IFS(F40&gt;26,""нет нормы"",C40="""","""",C40&lt;&gt;""МКД"",""нет нормы"",H40&lt;&gt;""Типовой"",""нет нормы"", AND(F40&lt;26,C40=""МКД""),ifs(FILTER('Нормативные показатели (рабочая'!O:O,'Нормативные показатели (рабочая'!K:K=C40,'Нормативные показатели (рабочая'!L:L=H40,"&amp;"'Нормативные показатели (рабочая'!N:N=""на ОРП"",'Нормативные показатели (рабочая'!M:M=""min"")&gt;O40,(-1) *(FILTER('Нормативные показатели (рабочая'!O:O,'Нормативные показатели (рабочая'!K:K=C40,'Нормативные показатели (рабочая'!L:L=H40,'Нормативные показа"&amp;"тели (рабочая'!N:N=""на ОРП"",'Нормативные показатели (рабочая'!M:M=""min"")-O40)/FILTER('Нормативные показатели (рабочая'!O:O,'Нормативные показатели (рабочая'!K:K=C40,'Нормативные показатели (рабочая'!L:L=H40,'Нормативные показатели (рабочая'!N:N=""на О"&amp;"РП"",'Нормативные показатели (рабочая'!M:M=""min""),AND(O40&gt;=FILTER('Нормативные показатели (рабочая'!O:O,'Нормативные показатели (рабочая'!K:K=C40,'Нормативные показатели (рабочая'!L:L=H40,'Нормативные показатели (рабочая'!N:N=""на ОРП"",'Нормативные пок"&amp;"азатели (рабочая'!M:M=""min""),O40&lt;=FILTER('Нормативные показатели (рабочая'!O:O,'Нормативные показатели (рабочая'!K:K=C40,'Нормативные показатели (рабочая'!L:L=H40,'Нормативные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(рабочая'!K:K=C40,'Нормативные показатели (рабочая'!L:L=H40,'Нормативные показатели (рабочая'!N:N=""на ОРП"",'Нормативные показатели (рабочая'!M:M=""max"")&lt;O40,(O40-FILTER"&amp;"('Нормативные показатели (рабочая'!O:O,'Нормативные показатели (рабочая'!K:K=C40,'Нормативные показатели (рабочая'!L:L=H40,'Нормативные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(рабочая'!K:K=C40,'Нормативные показатели (рабочая'!L:L=H40,'Нормативные показатели (рабочая'!N:N=""на ОРП"",'Нормативные показатели (рабочая'!M:M=""max"")))"),"")</f>
        <v/>
      </c>
      <c r="R40" s="53"/>
      <c r="S40" s="52"/>
      <c r="T40" s="48" t="str">
        <f>IFERROR(__xludf.DUMMYFUNCTION("IFS(F40&gt;26,""нет нормы"",C40="""","""",C40&lt;&gt;""МКД"",""нет нормы"",H40&lt;&gt;""Типовой"",""нет нормы"", AND(F40&lt;26,C40=""МКД""),ifs(FILTER('Нормативные показатели (рабочая'!O:O,'Нормативные показатели (рабочая'!K:K=C40,'Нормативные показатели (рабочая'!L:L=H40,"&amp;"'Нормативные показатели (рабочая'!N:N=""на S плиты"",'Нормативные показатели (рабочая'!M:M=""min"")&gt;R40,(-1) *(FILTER('Нормативные показатели (рабочая'!O:O,'Нормативные показатели (рабочая'!K:K=C40,'Нормативные показатели (рабочая'!L:L=H40,'Нормативные по"&amp;"казатели (рабочая'!N:N=""на S плиты"",'Нормативные показатели (рабочая'!M:M=""min"")-R40)/FILTER('Нормативные показатели (рабочая'!O:O,'Нормативные показатели (рабочая'!K:K=C40,'Нормативные показатели (рабочая'!L:L=H40,'Нормативные показатели (рабочая'!N:"&amp;"N=""на S плиты"",'Нормативные показатели (рабочая'!M:M=""min""),AND(R40&gt;=FILTER('Нормативные показатели (рабочая'!O:O,'Нормативные показатели (рабочая'!K:K=C40,'Нормативные показатели (рабочая'!L:L=H40,'Нормативные показатели (рабочая'!N:N=""на S плиты"","&amp;"'Нормативные показатели (рабочая'!M:M=""min""),R40&lt;=FILTER('Нормативные показатели (рабочая'!O:O,'Нормативные показатели (рабочая'!K:K=C40,'Нормативные показатели (рабочая'!L:L=H40,'Нормативные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(рабочая'!K:K=C40,'Нормативные показатели (рабочая'!L:L=H40,'Нормативные показатели (рабочая'!N:N=""на S плиты"",'Нормативные показатели (рабочая'!M:M="&amp;"""max"")&lt;R40,(R40-FILTER('Нормативные показатели (рабочая'!O:O,'Нормативные показатели (рабочая'!K:K=C40,'Нормативные показатели (рабочая'!L:L=H40,'Нормативные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(рабочая'!K:K=C40,'Нормативные показатели (рабочая'!L:L=H40,'Нормативные показатели (рабочая'!N:N=""на S плиты"",'Нормативные показатели (рабочая'!M:M=""max"")))"),"")</f>
        <v/>
      </c>
      <c r="U40" s="20"/>
      <c r="V40" s="25"/>
      <c r="W40" s="25"/>
    </row>
    <row r="41" ht="15.75" customHeight="1">
      <c r="A41" s="29"/>
      <c r="B41" s="16"/>
      <c r="C41" s="29"/>
      <c r="D41" s="29"/>
      <c r="E41" s="29"/>
      <c r="F41" s="29"/>
      <c r="G41" s="29"/>
      <c r="H41" s="41"/>
      <c r="I41" s="41"/>
      <c r="J41" s="51"/>
      <c r="K41" s="29"/>
      <c r="L41" s="29"/>
      <c r="M41" s="29"/>
      <c r="N41" s="29"/>
      <c r="O41" s="45" t="str">
        <f t="shared" si="3"/>
        <v/>
      </c>
      <c r="P41" s="52"/>
      <c r="Q41" s="47" t="str">
        <f>IFERROR(__xludf.DUMMYFUNCTION("IFS(F41&gt;26,""нет нормы"",C41="""","""",C41&lt;&gt;""МКД"",""нет нормы"",H41&lt;&gt;""Типовой"",""нет нормы"", AND(F41&lt;26,C41=""МКД""),ifs(FILTER('Нормативные показатели (рабочая'!O:O,'Нормативные показатели (рабочая'!K:K=C41,'Нормативные показатели (рабочая'!L:L=H41,"&amp;"'Нормативные показатели (рабочая'!N:N=""на ОРП"",'Нормативные показатели (рабочая'!M:M=""min"")&gt;O41,(-1) *(FILTER('Нормативные показатели (рабочая'!O:O,'Нормативные показатели (рабочая'!K:K=C41,'Нормативные показатели (рабочая'!L:L=H41,'Нормативные показа"&amp;"тели (рабочая'!N:N=""на ОРП"",'Нормативные показатели (рабочая'!M:M=""min"")-O41)/FILTER('Нормативные показатели (рабочая'!O:O,'Нормативные показатели (рабочая'!K:K=C41,'Нормативные показатели (рабочая'!L:L=H41,'Нормативные показатели (рабочая'!N:N=""на О"&amp;"РП"",'Нормативные показатели (рабочая'!M:M=""min""),AND(O41&gt;=FILTER('Нормативные показатели (рабочая'!O:O,'Нормативные показатели (рабочая'!K:K=C41,'Нормативные показатели (рабочая'!L:L=H41,'Нормативные показатели (рабочая'!N:N=""на ОРП"",'Нормативные пок"&amp;"азатели (рабочая'!M:M=""min""),O41&lt;=FILTER('Нормативные показатели (рабочая'!O:O,'Нормативные показатели (рабочая'!K:K=C41,'Нормативные показатели (рабочая'!L:L=H41,'Нормативные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(рабочая'!K:K=C41,'Нормативные показатели (рабочая'!L:L=H41,'Нормативные показатели (рабочая'!N:N=""на ОРП"",'Нормативные показатели (рабочая'!M:M=""max"")&lt;O41,(O41-FILTER"&amp;"('Нормативные показатели (рабочая'!O:O,'Нормативные показатели (рабочая'!K:K=C41,'Нормативные показатели (рабочая'!L:L=H41,'Нормативные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(рабочая'!K:K=C41,'Нормативные показатели (рабочая'!L:L=H41,'Нормативные показатели (рабочая'!N:N=""на ОРП"",'Нормативные показатели (рабочая'!M:M=""max"")))"),"")</f>
        <v/>
      </c>
      <c r="R41" s="53"/>
      <c r="S41" s="52"/>
      <c r="T41" s="48" t="str">
        <f>IFERROR(__xludf.DUMMYFUNCTION("IFS(F41&gt;26,""нет нормы"",C41="""","""",C41&lt;&gt;""МКД"",""нет нормы"",H41&lt;&gt;""Типовой"",""нет нормы"", AND(F41&lt;26,C41=""МКД""),ifs(FILTER('Нормативные показатели (рабочая'!O:O,'Нормативные показатели (рабочая'!K:K=C41,'Нормативные показатели (рабочая'!L:L=H41,"&amp;"'Нормативные показатели (рабочая'!N:N=""на S плиты"",'Нормативные показатели (рабочая'!M:M=""min"")&gt;R41,(-1) *(FILTER('Нормативные показатели (рабочая'!O:O,'Нормативные показатели (рабочая'!K:K=C41,'Нормативные показатели (рабочая'!L:L=H41,'Нормативные по"&amp;"казатели (рабочая'!N:N=""на S плиты"",'Нормативные показатели (рабочая'!M:M=""min"")-R41)/FILTER('Нормативные показатели (рабочая'!O:O,'Нормативные показатели (рабочая'!K:K=C41,'Нормативные показатели (рабочая'!L:L=H41,'Нормативные показатели (рабочая'!N:"&amp;"N=""на S плиты"",'Нормативные показатели (рабочая'!M:M=""min""),AND(R41&gt;=FILTER('Нормативные показатели (рабочая'!O:O,'Нормативные показатели (рабочая'!K:K=C41,'Нормативные показатели (рабочая'!L:L=H41,'Нормативные показатели (рабочая'!N:N=""на S плиты"","&amp;"'Нормативные показатели (рабочая'!M:M=""min""),R41&lt;=FILTER('Нормативные показатели (рабочая'!O:O,'Нормативные показатели (рабочая'!K:K=C41,'Нормативные показатели (рабочая'!L:L=H41,'Нормативные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(рабочая'!K:K=C41,'Нормативные показатели (рабочая'!L:L=H41,'Нормативные показатели (рабочая'!N:N=""на S плиты"",'Нормативные показатели (рабочая'!M:M="&amp;"""max"")&lt;R41,(R41-FILTER('Нормативные показатели (рабочая'!O:O,'Нормативные показатели (рабочая'!K:K=C41,'Нормативные показатели (рабочая'!L:L=H41,'Нормативные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(рабочая'!K:K=C41,'Нормативные показатели (рабочая'!L:L=H41,'Нормативные показатели (рабочая'!N:N=""на S плиты"",'Нормативные показатели (рабочая'!M:M=""max"")))"),"")</f>
        <v/>
      </c>
      <c r="U41" s="20"/>
      <c r="V41" s="25"/>
      <c r="W41" s="25"/>
    </row>
    <row r="42" ht="15.75" customHeight="1">
      <c r="A42" s="29"/>
      <c r="B42" s="16"/>
      <c r="C42" s="29"/>
      <c r="D42" s="29"/>
      <c r="E42" s="29"/>
      <c r="F42" s="29"/>
      <c r="G42" s="29"/>
      <c r="H42" s="41"/>
      <c r="I42" s="41"/>
      <c r="J42" s="51"/>
      <c r="K42" s="29"/>
      <c r="L42" s="29"/>
      <c r="M42" s="29"/>
      <c r="N42" s="29"/>
      <c r="O42" s="45" t="str">
        <f t="shared" si="3"/>
        <v/>
      </c>
      <c r="P42" s="52"/>
      <c r="Q42" s="47" t="str">
        <f>IFERROR(__xludf.DUMMYFUNCTION("IFS(F42&gt;26,""нет нормы"",C42="""","""",C42&lt;&gt;""МКД"",""нет нормы"",H42&lt;&gt;""Типовой"",""нет нормы"", AND(F42&lt;26,C42=""МКД""),ifs(FILTER('Нормативные показатели (рабочая'!O:O,'Нормативные показатели (рабочая'!K:K=C42,'Нормативные показатели (рабочая'!L:L=H42,"&amp;"'Нормативные показатели (рабочая'!N:N=""на ОРП"",'Нормативные показатели (рабочая'!M:M=""min"")&gt;O42,(-1) *(FILTER('Нормативные показатели (рабочая'!O:O,'Нормативные показатели (рабочая'!K:K=C42,'Нормативные показатели (рабочая'!L:L=H42,'Нормативные показа"&amp;"тели (рабочая'!N:N=""на ОРП"",'Нормативные показатели (рабочая'!M:M=""min"")-O42)/FILTER('Нормативные показатели (рабочая'!O:O,'Нормативные показатели (рабочая'!K:K=C42,'Нормативные показатели (рабочая'!L:L=H42,'Нормативные показатели (рабочая'!N:N=""на О"&amp;"РП"",'Нормативные показатели (рабочая'!M:M=""min""),AND(O42&gt;=FILTER('Нормативные показатели (рабочая'!O:O,'Нормативные показатели (рабочая'!K:K=C42,'Нормативные показатели (рабочая'!L:L=H42,'Нормативные показатели (рабочая'!N:N=""на ОРП"",'Нормативные пок"&amp;"азатели (рабочая'!M:M=""min""),O42&lt;=FILTER('Нормативные показатели (рабочая'!O:O,'Нормативные показатели (рабочая'!K:K=C42,'Нормативные показатели (рабочая'!L:L=H42,'Нормативные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(рабочая'!K:K=C42,'Нормативные показатели (рабочая'!L:L=H42,'Нормативные показатели (рабочая'!N:N=""на ОРП"",'Нормативные показатели (рабочая'!M:M=""max"")&lt;O42,(O42-FILTER"&amp;"('Нормативные показатели (рабочая'!O:O,'Нормативные показатели (рабочая'!K:K=C42,'Нормативные показатели (рабочая'!L:L=H42,'Нормативные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(рабочая'!K:K=C42,'Нормативные показатели (рабочая'!L:L=H42,'Нормативные показатели (рабочая'!N:N=""на ОРП"",'Нормативные показатели (рабочая'!M:M=""max"")))"),"")</f>
        <v/>
      </c>
      <c r="R42" s="53"/>
      <c r="S42" s="52"/>
      <c r="T42" s="48" t="str">
        <f>IFERROR(__xludf.DUMMYFUNCTION("IFS(F42&gt;26,""нет нормы"",C42="""","""",C42&lt;&gt;""МКД"",""нет нормы"",H42&lt;&gt;""Типовой"",""нет нормы"", AND(F42&lt;26,C42=""МКД""),ifs(FILTER('Нормативные показатели (рабочая'!O:O,'Нормативные показатели (рабочая'!K:K=C42,'Нормативные показатели (рабочая'!L:L=H42,"&amp;"'Нормативные показатели (рабочая'!N:N=""на S плиты"",'Нормативные показатели (рабочая'!M:M=""min"")&gt;R42,(-1) *(FILTER('Нормативные показатели (рабочая'!O:O,'Нормативные показатели (рабочая'!K:K=C42,'Нормативные показатели (рабочая'!L:L=H42,'Нормативные по"&amp;"казатели (рабочая'!N:N=""на S плиты"",'Нормативные показатели (рабочая'!M:M=""min"")-R42)/FILTER('Нормативные показатели (рабочая'!O:O,'Нормативные показатели (рабочая'!K:K=C42,'Нормативные показатели (рабочая'!L:L=H42,'Нормативные показатели (рабочая'!N:"&amp;"N=""на S плиты"",'Нормативные показатели (рабочая'!M:M=""min""),AND(R42&gt;=FILTER('Нормативные показатели (рабочая'!O:O,'Нормативные показатели (рабочая'!K:K=C42,'Нормативные показатели (рабочая'!L:L=H42,'Нормативные показатели (рабочая'!N:N=""на S плиты"","&amp;"'Нормативные показатели (рабочая'!M:M=""min""),R42&lt;=FILTER('Нормативные показатели (рабочая'!O:O,'Нормативные показатели (рабочая'!K:K=C42,'Нормативные показатели (рабочая'!L:L=H42,'Нормативные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(рабочая'!K:K=C42,'Нормативные показатели (рабочая'!L:L=H42,'Нормативные показатели (рабочая'!N:N=""на S плиты"",'Нормативные показатели (рабочая'!M:M="&amp;"""max"")&lt;R42,(R42-FILTER('Нормативные показатели (рабочая'!O:O,'Нормативные показатели (рабочая'!K:K=C42,'Нормативные показатели (рабочая'!L:L=H42,'Нормативные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(рабочая'!K:K=C42,'Нормативные показатели (рабочая'!L:L=H42,'Нормативные показатели (рабочая'!N:N=""на S плиты"",'Нормативные показатели (рабочая'!M:M=""max"")))"),"")</f>
        <v/>
      </c>
      <c r="U42" s="20"/>
      <c r="V42" s="25"/>
      <c r="W42" s="25"/>
    </row>
    <row r="43" ht="15.75" customHeight="1">
      <c r="A43" s="29"/>
      <c r="B43" s="16"/>
      <c r="C43" s="29"/>
      <c r="D43" s="29"/>
      <c r="E43" s="29"/>
      <c r="F43" s="29"/>
      <c r="G43" s="29"/>
      <c r="H43" s="41"/>
      <c r="I43" s="41"/>
      <c r="J43" s="51"/>
      <c r="K43" s="29"/>
      <c r="L43" s="29"/>
      <c r="M43" s="29"/>
      <c r="N43" s="29"/>
      <c r="O43" s="45" t="str">
        <f t="shared" si="3"/>
        <v/>
      </c>
      <c r="P43" s="52"/>
      <c r="Q43" s="47" t="str">
        <f>IFERROR(__xludf.DUMMYFUNCTION("IFS(F43&gt;26,""нет нормы"",C43="""","""",C43&lt;&gt;""МКД"",""нет нормы"",H43&lt;&gt;""Типовой"",""нет нормы"", AND(F43&lt;26,C43=""МКД""),ifs(FILTER('Нормативные показатели (рабочая'!O:O,'Нормативные показатели (рабочая'!K:K=C43,'Нормативные показатели (рабочая'!L:L=H43,"&amp;"'Нормативные показатели (рабочая'!N:N=""на ОРП"",'Нормативные показатели (рабочая'!M:M=""min"")&gt;O43,(-1) *(FILTER('Нормативные показатели (рабочая'!O:O,'Нормативные показатели (рабочая'!K:K=C43,'Нормативные показатели (рабочая'!L:L=H43,'Нормативные показа"&amp;"тели (рабочая'!N:N=""на ОРП"",'Нормативные показатели (рабочая'!M:M=""min"")-O43)/FILTER('Нормативные показатели (рабочая'!O:O,'Нормативные показатели (рабочая'!K:K=C43,'Нормативные показатели (рабочая'!L:L=H43,'Нормативные показатели (рабочая'!N:N=""на О"&amp;"РП"",'Нормативные показатели (рабочая'!M:M=""min""),AND(O43&gt;=FILTER('Нормативные показатели (рабочая'!O:O,'Нормативные показатели (рабочая'!K:K=C43,'Нормативные показатели (рабочая'!L:L=H43,'Нормативные показатели (рабочая'!N:N=""на ОРП"",'Нормативные пок"&amp;"азатели (рабочая'!M:M=""min""),O43&lt;=FILTER('Нормативные показатели (рабочая'!O:O,'Нормативные показатели (рабочая'!K:K=C43,'Нормативные показатели (рабочая'!L:L=H43,'Нормативные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(рабочая'!K:K=C43,'Нормативные показатели (рабочая'!L:L=H43,'Нормативные показатели (рабочая'!N:N=""на ОРП"",'Нормативные показатели (рабочая'!M:M=""max"")&lt;O43,(O43-FILTER"&amp;"('Нормативные показатели (рабочая'!O:O,'Нормативные показатели (рабочая'!K:K=C43,'Нормативные показатели (рабочая'!L:L=H43,'Нормативные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(рабочая'!K:K=C43,'Нормативные показатели (рабочая'!L:L=H43,'Нормативные показатели (рабочая'!N:N=""на ОРП"",'Нормативные показатели (рабочая'!M:M=""max"")))"),"")</f>
        <v/>
      </c>
      <c r="R43" s="53"/>
      <c r="S43" s="52"/>
      <c r="T43" s="48" t="str">
        <f>IFERROR(__xludf.DUMMYFUNCTION("IFS(F43&gt;26,""нет нормы"",C43="""","""",C43&lt;&gt;""МКД"",""нет нормы"",H43&lt;&gt;""Типовой"",""нет нормы"", AND(F43&lt;26,C43=""МКД""),ifs(FILTER('Нормативные показатели (рабочая'!O:O,'Нормативные показатели (рабочая'!K:K=C43,'Нормативные показатели (рабочая'!L:L=H43,"&amp;"'Нормативные показатели (рабочая'!N:N=""на S плиты"",'Нормативные показатели (рабочая'!M:M=""min"")&gt;R43,(-1) *(FILTER('Нормативные показатели (рабочая'!O:O,'Нормативные показатели (рабочая'!K:K=C43,'Нормативные показатели (рабочая'!L:L=H43,'Нормативные по"&amp;"казатели (рабочая'!N:N=""на S плиты"",'Нормативные показатели (рабочая'!M:M=""min"")-R43)/FILTER('Нормативные показатели (рабочая'!O:O,'Нормативные показатели (рабочая'!K:K=C43,'Нормативные показатели (рабочая'!L:L=H43,'Нормативные показатели (рабочая'!N:"&amp;"N=""на S плиты"",'Нормативные показатели (рабочая'!M:M=""min""),AND(R43&gt;=FILTER('Нормативные показатели (рабочая'!O:O,'Нормативные показатели (рабочая'!K:K=C43,'Нормативные показатели (рабочая'!L:L=H43,'Нормативные показатели (рабочая'!N:N=""на S плиты"","&amp;"'Нормативные показатели (рабочая'!M:M=""min""),R43&lt;=FILTER('Нормативные показатели (рабочая'!O:O,'Нормативные показатели (рабочая'!K:K=C43,'Нормативные показатели (рабочая'!L:L=H43,'Нормативные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(рабочая'!K:K=C43,'Нормативные показатели (рабочая'!L:L=H43,'Нормативные показатели (рабочая'!N:N=""на S плиты"",'Нормативные показатели (рабочая'!M:M="&amp;"""max"")&lt;R43,(R43-FILTER('Нормативные показатели (рабочая'!O:O,'Нормативные показатели (рабочая'!K:K=C43,'Нормативные показатели (рабочая'!L:L=H43,'Нормативные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(рабочая'!K:K=C43,'Нормативные показатели (рабочая'!L:L=H43,'Нормативные показатели (рабочая'!N:N=""на S плиты"",'Нормативные показатели (рабочая'!M:M=""max"")))"),"")</f>
        <v/>
      </c>
      <c r="U43" s="20"/>
      <c r="V43" s="25"/>
      <c r="W43" s="25"/>
    </row>
    <row r="44" ht="15.75" customHeight="1">
      <c r="A44" s="29"/>
      <c r="B44" s="16"/>
      <c r="C44" s="29"/>
      <c r="D44" s="29"/>
      <c r="E44" s="29"/>
      <c r="F44" s="29"/>
      <c r="G44" s="29"/>
      <c r="H44" s="41"/>
      <c r="I44" s="41"/>
      <c r="J44" s="51"/>
      <c r="K44" s="29"/>
      <c r="L44" s="29"/>
      <c r="M44" s="29"/>
      <c r="N44" s="29"/>
      <c r="O44" s="45" t="str">
        <f t="shared" si="3"/>
        <v/>
      </c>
      <c r="P44" s="52"/>
      <c r="Q44" s="47" t="str">
        <f>IFERROR(__xludf.DUMMYFUNCTION("IFS(F44&gt;26,""нет нормы"",C44="""","""",C44&lt;&gt;""МКД"",""нет нормы"",H44&lt;&gt;""Типовой"",""нет нормы"", AND(F44&lt;26,C44=""МКД""),ifs(FILTER('Нормативные показатели (рабочая'!O:O,'Нормативные показатели (рабочая'!K:K=C44,'Нормативные показатели (рабочая'!L:L=H44,"&amp;"'Нормативные показатели (рабочая'!N:N=""на ОРП"",'Нормативные показатели (рабочая'!M:M=""min"")&gt;O44,(-1) *(FILTER('Нормативные показатели (рабочая'!O:O,'Нормативные показатели (рабочая'!K:K=C44,'Нормативные показатели (рабочая'!L:L=H44,'Нормативные показа"&amp;"тели (рабочая'!N:N=""на ОРП"",'Нормативные показатели (рабочая'!M:M=""min"")-O44)/FILTER('Нормативные показатели (рабочая'!O:O,'Нормативные показатели (рабочая'!K:K=C44,'Нормативные показатели (рабочая'!L:L=H44,'Нормативные показатели (рабочая'!N:N=""на О"&amp;"РП"",'Нормативные показатели (рабочая'!M:M=""min""),AND(O44&gt;=FILTER('Нормативные показатели (рабочая'!O:O,'Нормативные показатели (рабочая'!K:K=C44,'Нормативные показатели (рабочая'!L:L=H44,'Нормативные показатели (рабочая'!N:N=""на ОРП"",'Нормативные пок"&amp;"азатели (рабочая'!M:M=""min""),O44&lt;=FILTER('Нормативные показатели (рабочая'!O:O,'Нормативные показатели (рабочая'!K:K=C44,'Нормативные показатели (рабочая'!L:L=H44,'Нормативные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(рабочая'!K:K=C44,'Нормативные показатели (рабочая'!L:L=H44,'Нормативные показатели (рабочая'!N:N=""на ОРП"",'Нормативные показатели (рабочая'!M:M=""max"")&lt;O44,(O44-FILTER"&amp;"('Нормативные показатели (рабочая'!O:O,'Нормативные показатели (рабочая'!K:K=C44,'Нормативные показатели (рабочая'!L:L=H44,'Нормативные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(рабочая'!K:K=C44,'Нормативные показатели (рабочая'!L:L=H44,'Нормативные показатели (рабочая'!N:N=""на ОРП"",'Нормативные показатели (рабочая'!M:M=""max"")))"),"")</f>
        <v/>
      </c>
      <c r="R44" s="53"/>
      <c r="S44" s="52"/>
      <c r="T44" s="48" t="str">
        <f>IFERROR(__xludf.DUMMYFUNCTION("IFS(F44&gt;26,""нет нормы"",C44="""","""",C44&lt;&gt;""МКД"",""нет нормы"",H44&lt;&gt;""Типовой"",""нет нормы"", AND(F44&lt;26,C44=""МКД""),ifs(FILTER('Нормативные показатели (рабочая'!O:O,'Нормативные показатели (рабочая'!K:K=C44,'Нормативные показатели (рабочая'!L:L=H44,"&amp;"'Нормативные показатели (рабочая'!N:N=""на S плиты"",'Нормативные показатели (рабочая'!M:M=""min"")&gt;R44,(-1) *(FILTER('Нормативные показатели (рабочая'!O:O,'Нормативные показатели (рабочая'!K:K=C44,'Нормативные показатели (рабочая'!L:L=H44,'Нормативные по"&amp;"казатели (рабочая'!N:N=""на S плиты"",'Нормативные показатели (рабочая'!M:M=""min"")-R44)/FILTER('Нормативные показатели (рабочая'!O:O,'Нормативные показатели (рабочая'!K:K=C44,'Нормативные показатели (рабочая'!L:L=H44,'Нормативные показатели (рабочая'!N:"&amp;"N=""на S плиты"",'Нормативные показатели (рабочая'!M:M=""min""),AND(R44&gt;=FILTER('Нормативные показатели (рабочая'!O:O,'Нормативные показатели (рабочая'!K:K=C44,'Нормативные показатели (рабочая'!L:L=H44,'Нормативные показатели (рабочая'!N:N=""на S плиты"","&amp;"'Нормативные показатели (рабочая'!M:M=""min""),R44&lt;=FILTER('Нормативные показатели (рабочая'!O:O,'Нормативные показатели (рабочая'!K:K=C44,'Нормативные показатели (рабочая'!L:L=H44,'Нормативные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(рабочая'!K:K=C44,'Нормативные показатели (рабочая'!L:L=H44,'Нормативные показатели (рабочая'!N:N=""на S плиты"",'Нормативные показатели (рабочая'!M:M="&amp;"""max"")&lt;R44,(R44-FILTER('Нормативные показатели (рабочая'!O:O,'Нормативные показатели (рабочая'!K:K=C44,'Нормативные показатели (рабочая'!L:L=H44,'Нормативные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(рабочая'!K:K=C44,'Нормативные показатели (рабочая'!L:L=H44,'Нормативные показатели (рабочая'!N:N=""на S плиты"",'Нормативные показатели (рабочая'!M:M=""max"")))"),"")</f>
        <v/>
      </c>
      <c r="U44" s="20"/>
      <c r="V44" s="25"/>
      <c r="W44" s="25"/>
    </row>
    <row r="45" ht="15.75" customHeight="1">
      <c r="A45" s="29"/>
      <c r="B45" s="16"/>
      <c r="C45" s="29"/>
      <c r="D45" s="29"/>
      <c r="E45" s="29"/>
      <c r="F45" s="29"/>
      <c r="G45" s="29"/>
      <c r="H45" s="41"/>
      <c r="I45" s="41"/>
      <c r="J45" s="51"/>
      <c r="K45" s="29"/>
      <c r="L45" s="29"/>
      <c r="M45" s="29"/>
      <c r="N45" s="29"/>
      <c r="O45" s="45" t="str">
        <f t="shared" si="3"/>
        <v/>
      </c>
      <c r="P45" s="52"/>
      <c r="Q45" s="47" t="str">
        <f>IFERROR(__xludf.DUMMYFUNCTION("IFS(F45&gt;26,""нет нормы"",C45="""","""",C45&lt;&gt;""МКД"",""нет нормы"",H45&lt;&gt;""Типовой"",""нет нормы"", AND(F45&lt;26,C45=""МКД""),ifs(FILTER('Нормативные показатели (рабочая'!O:O,'Нормативные показатели (рабочая'!K:K=C45,'Нормативные показатели (рабочая'!L:L=H45,"&amp;"'Нормативные показатели (рабочая'!N:N=""на ОРП"",'Нормативные показатели (рабочая'!M:M=""min"")&gt;O45,(-1) *(FILTER('Нормативные показатели (рабочая'!O:O,'Нормативные показатели (рабочая'!K:K=C45,'Нормативные показатели (рабочая'!L:L=H45,'Нормативные показа"&amp;"тели (рабочая'!N:N=""на ОРП"",'Нормативные показатели (рабочая'!M:M=""min"")-O45)/FILTER('Нормативные показатели (рабочая'!O:O,'Нормативные показатели (рабочая'!K:K=C45,'Нормативные показатели (рабочая'!L:L=H45,'Нормативные показатели (рабочая'!N:N=""на О"&amp;"РП"",'Нормативные показатели (рабочая'!M:M=""min""),AND(O45&gt;=FILTER('Нормативные показатели (рабочая'!O:O,'Нормативные показатели (рабочая'!K:K=C45,'Нормативные показатели (рабочая'!L:L=H45,'Нормативные показатели (рабочая'!N:N=""на ОРП"",'Нормативные пок"&amp;"азатели (рабочая'!M:M=""min""),O45&lt;=FILTER('Нормативные показатели (рабочая'!O:O,'Нормативные показатели (рабочая'!K:K=C45,'Нормативные показатели (рабочая'!L:L=H45,'Нормативные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(рабочая'!K:K=C45,'Нормативные показатели (рабочая'!L:L=H45,'Нормативные показатели (рабочая'!N:N=""на ОРП"",'Нормативные показатели (рабочая'!M:M=""max"")&lt;O45,(O45-FILTER"&amp;"('Нормативные показатели (рабочая'!O:O,'Нормативные показатели (рабочая'!K:K=C45,'Нормативные показатели (рабочая'!L:L=H45,'Нормативные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(рабочая'!K:K=C45,'Нормативные показатели (рабочая'!L:L=H45,'Нормативные показатели (рабочая'!N:N=""на ОРП"",'Нормативные показатели (рабочая'!M:M=""max"")))"),"")</f>
        <v/>
      </c>
      <c r="R45" s="53"/>
      <c r="S45" s="52"/>
      <c r="T45" s="48" t="str">
        <f>IFERROR(__xludf.DUMMYFUNCTION("IFS(F45&gt;26,""нет нормы"",C45="""","""",C45&lt;&gt;""МКД"",""нет нормы"",H45&lt;&gt;""Типовой"",""нет нормы"", AND(F45&lt;26,C45=""МКД""),ifs(FILTER('Нормативные показатели (рабочая'!O:O,'Нормативные показатели (рабочая'!K:K=C45,'Нормативные показатели (рабочая'!L:L=H45,"&amp;"'Нормативные показатели (рабочая'!N:N=""на S плиты"",'Нормативные показатели (рабочая'!M:M=""min"")&gt;R45,(-1) *(FILTER('Нормативные показатели (рабочая'!O:O,'Нормативные показатели (рабочая'!K:K=C45,'Нормативные показатели (рабочая'!L:L=H45,'Нормативные по"&amp;"казатели (рабочая'!N:N=""на S плиты"",'Нормативные показатели (рабочая'!M:M=""min"")-R45)/FILTER('Нормативные показатели (рабочая'!O:O,'Нормативные показатели (рабочая'!K:K=C45,'Нормативные показатели (рабочая'!L:L=H45,'Нормативные показатели (рабочая'!N:"&amp;"N=""на S плиты"",'Нормативные показатели (рабочая'!M:M=""min""),AND(R45&gt;=FILTER('Нормативные показатели (рабочая'!O:O,'Нормативные показатели (рабочая'!K:K=C45,'Нормативные показатели (рабочая'!L:L=H45,'Нормативные показатели (рабочая'!N:N=""на S плиты"","&amp;"'Нормативные показатели (рабочая'!M:M=""min""),R45&lt;=FILTER('Нормативные показатели (рабочая'!O:O,'Нормативные показатели (рабочая'!K:K=C45,'Нормативные показатели (рабочая'!L:L=H45,'Нормативные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(рабочая'!K:K=C45,'Нормативные показатели (рабочая'!L:L=H45,'Нормативные показатели (рабочая'!N:N=""на S плиты"",'Нормативные показатели (рабочая'!M:M="&amp;"""max"")&lt;R45,(R45-FILTER('Нормативные показатели (рабочая'!O:O,'Нормативные показатели (рабочая'!K:K=C45,'Нормативные показатели (рабочая'!L:L=H45,'Нормативные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(рабочая'!K:K=C45,'Нормативные показатели (рабочая'!L:L=H45,'Нормативные показатели (рабочая'!N:N=""на S плиты"",'Нормативные показатели (рабочая'!M:M=""max"")))"),"")</f>
        <v/>
      </c>
      <c r="U45" s="20"/>
      <c r="V45" s="25"/>
      <c r="W45" s="25"/>
    </row>
    <row r="46" ht="15.75" customHeight="1">
      <c r="A46" s="29"/>
      <c r="B46" s="16"/>
      <c r="C46" s="29"/>
      <c r="D46" s="29"/>
      <c r="E46" s="29"/>
      <c r="F46" s="29"/>
      <c r="G46" s="29"/>
      <c r="H46" s="41"/>
      <c r="I46" s="41"/>
      <c r="J46" s="51"/>
      <c r="K46" s="29"/>
      <c r="L46" s="29"/>
      <c r="M46" s="29"/>
      <c r="N46" s="29"/>
      <c r="O46" s="45" t="str">
        <f t="shared" si="3"/>
        <v/>
      </c>
      <c r="P46" s="52"/>
      <c r="Q46" s="47" t="str">
        <f>IFERROR(__xludf.DUMMYFUNCTION("IFS(F46&gt;26,""нет нормы"",C46="""","""",C46&lt;&gt;""МКД"",""нет нормы"",H46&lt;&gt;""Типовой"",""нет нормы"", AND(F46&lt;26,C46=""МКД""),ifs(FILTER('Нормативные показатели (рабочая'!O:O,'Нормативные показатели (рабочая'!K:K=C46,'Нормативные показатели (рабочая'!L:L=H46,"&amp;"'Нормативные показатели (рабочая'!N:N=""на ОРП"",'Нормативные показатели (рабочая'!M:M=""min"")&gt;O46,(-1) *(FILTER('Нормативные показатели (рабочая'!O:O,'Нормативные показатели (рабочая'!K:K=C46,'Нормативные показатели (рабочая'!L:L=H46,'Нормативные показа"&amp;"тели (рабочая'!N:N=""на ОРП"",'Нормативные показатели (рабочая'!M:M=""min"")-O46)/FILTER('Нормативные показатели (рабочая'!O:O,'Нормативные показатели (рабочая'!K:K=C46,'Нормативные показатели (рабочая'!L:L=H46,'Нормативные показатели (рабочая'!N:N=""на О"&amp;"РП"",'Нормативные показатели (рабочая'!M:M=""min""),AND(O46&gt;=FILTER('Нормативные показатели (рабочая'!O:O,'Нормативные показатели (рабочая'!K:K=C46,'Нормативные показатели (рабочая'!L:L=H46,'Нормативные показатели (рабочая'!N:N=""на ОРП"",'Нормативные пок"&amp;"азатели (рабочая'!M:M=""min""),O46&lt;=FILTER('Нормативные показатели (рабочая'!O:O,'Нормативные показатели (рабочая'!K:K=C46,'Нормативные показатели (рабочая'!L:L=H46,'Нормативные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(рабочая'!K:K=C46,'Нормативные показатели (рабочая'!L:L=H46,'Нормативные показатели (рабочая'!N:N=""на ОРП"",'Нормативные показатели (рабочая'!M:M=""max"")&lt;O46,(O46-FILTER"&amp;"('Нормативные показатели (рабочая'!O:O,'Нормативные показатели (рабочая'!K:K=C46,'Нормативные показатели (рабочая'!L:L=H46,'Нормативные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(рабочая'!K:K=C46,'Нормативные показатели (рабочая'!L:L=H46,'Нормативные показатели (рабочая'!N:N=""на ОРП"",'Нормативные показатели (рабочая'!M:M=""max"")))"),"")</f>
        <v/>
      </c>
      <c r="R46" s="53"/>
      <c r="S46" s="52"/>
      <c r="T46" s="48" t="str">
        <f>IFERROR(__xludf.DUMMYFUNCTION("IFS(F46&gt;26,""нет нормы"",C46="""","""",C46&lt;&gt;""МКД"",""нет нормы"",H46&lt;&gt;""Типовой"",""нет нормы"", AND(F46&lt;26,C46=""МКД""),ifs(FILTER('Нормативные показатели (рабочая'!O:O,'Нормативные показатели (рабочая'!K:K=C46,'Нормативные показатели (рабочая'!L:L=H46,"&amp;"'Нормативные показатели (рабочая'!N:N=""на S плиты"",'Нормативные показатели (рабочая'!M:M=""min"")&gt;R46,(-1) *(FILTER('Нормативные показатели (рабочая'!O:O,'Нормативные показатели (рабочая'!K:K=C46,'Нормативные показатели (рабочая'!L:L=H46,'Нормативные по"&amp;"казатели (рабочая'!N:N=""на S плиты"",'Нормативные показатели (рабочая'!M:M=""min"")-R46)/FILTER('Нормативные показатели (рабочая'!O:O,'Нормативные показатели (рабочая'!K:K=C46,'Нормативные показатели (рабочая'!L:L=H46,'Нормативные показатели (рабочая'!N:"&amp;"N=""на S плиты"",'Нормативные показатели (рабочая'!M:M=""min""),AND(R46&gt;=FILTER('Нормативные показатели (рабочая'!O:O,'Нормативные показатели (рабочая'!K:K=C46,'Нормативные показатели (рабочая'!L:L=H46,'Нормативные показатели (рабочая'!N:N=""на S плиты"","&amp;"'Нормативные показатели (рабочая'!M:M=""min""),R46&lt;=FILTER('Нормативные показатели (рабочая'!O:O,'Нормативные показатели (рабочая'!K:K=C46,'Нормативные показатели (рабочая'!L:L=H46,'Нормативные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(рабочая'!K:K=C46,'Нормативные показатели (рабочая'!L:L=H46,'Нормативные показатели (рабочая'!N:N=""на S плиты"",'Нормативные показатели (рабочая'!M:M="&amp;"""max"")&lt;R46,(R46-FILTER('Нормативные показатели (рабочая'!O:O,'Нормативные показатели (рабочая'!K:K=C46,'Нормативные показатели (рабочая'!L:L=H46,'Нормативные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(рабочая'!K:K=C46,'Нормативные показатели (рабочая'!L:L=H46,'Нормативные показатели (рабочая'!N:N=""на S плиты"",'Нормативные показатели (рабочая'!M:M=""max"")))"),"")</f>
        <v/>
      </c>
      <c r="U46" s="20"/>
      <c r="V46" s="25"/>
      <c r="W46" s="25"/>
    </row>
    <row r="47" ht="15.75" customHeight="1">
      <c r="A47" s="29"/>
      <c r="B47" s="16"/>
      <c r="C47" s="29"/>
      <c r="D47" s="29"/>
      <c r="E47" s="29"/>
      <c r="F47" s="29"/>
      <c r="G47" s="29"/>
      <c r="H47" s="41"/>
      <c r="I47" s="41"/>
      <c r="J47" s="51"/>
      <c r="K47" s="29"/>
      <c r="L47" s="29"/>
      <c r="M47" s="29"/>
      <c r="N47" s="29"/>
      <c r="O47" s="45" t="str">
        <f t="shared" si="3"/>
        <v/>
      </c>
      <c r="P47" s="52"/>
      <c r="Q47" s="47" t="str">
        <f>IFERROR(__xludf.DUMMYFUNCTION("IFS(F47&gt;26,""нет нормы"",C47="""","""",C47&lt;&gt;""МКД"",""нет нормы"",H47&lt;&gt;""Типовой"",""нет нормы"", AND(F47&lt;26,C47=""МКД""),ifs(FILTER('Нормативные показатели (рабочая'!O:O,'Нормативные показатели (рабочая'!K:K=C47,'Нормативные показатели (рабочая'!L:L=H47,"&amp;"'Нормативные показатели (рабочая'!N:N=""на ОРП"",'Нормативные показатели (рабочая'!M:M=""min"")&gt;O47,(-1) *(FILTER('Нормативные показатели (рабочая'!O:O,'Нормативные показатели (рабочая'!K:K=C47,'Нормативные показатели (рабочая'!L:L=H47,'Нормативные показа"&amp;"тели (рабочая'!N:N=""на ОРП"",'Нормативные показатели (рабочая'!M:M=""min"")-O47)/FILTER('Нормативные показатели (рабочая'!O:O,'Нормативные показатели (рабочая'!K:K=C47,'Нормативные показатели (рабочая'!L:L=H47,'Нормативные показатели (рабочая'!N:N=""на О"&amp;"РП"",'Нормативные показатели (рабочая'!M:M=""min""),AND(O47&gt;=FILTER('Нормативные показатели (рабочая'!O:O,'Нормативные показатели (рабочая'!K:K=C47,'Нормативные показатели (рабочая'!L:L=H47,'Нормативные показатели (рабочая'!N:N=""на ОРП"",'Нормативные пок"&amp;"азатели (рабочая'!M:M=""min""),O47&lt;=FILTER('Нормативные показатели (рабочая'!O:O,'Нормативные показатели (рабочая'!K:K=C47,'Нормативные показатели (рабочая'!L:L=H47,'Нормативные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(рабочая'!K:K=C47,'Нормативные показатели (рабочая'!L:L=H47,'Нормативные показатели (рабочая'!N:N=""на ОРП"",'Нормативные показатели (рабочая'!M:M=""max"")&lt;O47,(O47-FILTER"&amp;"('Нормативные показатели (рабочая'!O:O,'Нормативные показатели (рабочая'!K:K=C47,'Нормативные показатели (рабочая'!L:L=H47,'Нормативные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(рабочая'!K:K=C47,'Нормативные показатели (рабочая'!L:L=H47,'Нормативные показатели (рабочая'!N:N=""на ОРП"",'Нормативные показатели (рабочая'!M:M=""max"")))"),"")</f>
        <v/>
      </c>
      <c r="R47" s="53"/>
      <c r="S47" s="52"/>
      <c r="T47" s="48" t="str">
        <f>IFERROR(__xludf.DUMMYFUNCTION("IFS(F47&gt;26,""нет нормы"",C47="""","""",C47&lt;&gt;""МКД"",""нет нормы"",H47&lt;&gt;""Типовой"",""нет нормы"", AND(F47&lt;26,C47=""МКД""),ifs(FILTER('Нормативные показатели (рабочая'!O:O,'Нормативные показатели (рабочая'!K:K=C47,'Нормативные показатели (рабочая'!L:L=H47,"&amp;"'Нормативные показатели (рабочая'!N:N=""на S плиты"",'Нормативные показатели (рабочая'!M:M=""min"")&gt;R47,(-1) *(FILTER('Нормативные показатели (рабочая'!O:O,'Нормативные показатели (рабочая'!K:K=C47,'Нормативные показатели (рабочая'!L:L=H47,'Нормативные по"&amp;"казатели (рабочая'!N:N=""на S плиты"",'Нормативные показатели (рабочая'!M:M=""min"")-R47)/FILTER('Нормативные показатели (рабочая'!O:O,'Нормативные показатели (рабочая'!K:K=C47,'Нормативные показатели (рабочая'!L:L=H47,'Нормативные показатели (рабочая'!N:"&amp;"N=""на S плиты"",'Нормативные показатели (рабочая'!M:M=""min""),AND(R47&gt;=FILTER('Нормативные показатели (рабочая'!O:O,'Нормативные показатели (рабочая'!K:K=C47,'Нормативные показатели (рабочая'!L:L=H47,'Нормативные показатели (рабочая'!N:N=""на S плиты"","&amp;"'Нормативные показатели (рабочая'!M:M=""min""),R47&lt;=FILTER('Нормативные показатели (рабочая'!O:O,'Нормативные показатели (рабочая'!K:K=C47,'Нормативные показатели (рабочая'!L:L=H47,'Нормативные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(рабочая'!K:K=C47,'Нормативные показатели (рабочая'!L:L=H47,'Нормативные показатели (рабочая'!N:N=""на S плиты"",'Нормативные показатели (рабочая'!M:M="&amp;"""max"")&lt;R47,(R47-FILTER('Нормативные показатели (рабочая'!O:O,'Нормативные показатели (рабочая'!K:K=C47,'Нормативные показатели (рабочая'!L:L=H47,'Нормативные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(рабочая'!K:K=C47,'Нормативные показатели (рабочая'!L:L=H47,'Нормативные показатели (рабочая'!N:N=""на S плиты"",'Нормативные показатели (рабочая'!M:M=""max"")))"),"")</f>
        <v/>
      </c>
      <c r="U47" s="20"/>
      <c r="V47" s="25"/>
      <c r="W47" s="25"/>
    </row>
    <row r="48" ht="15.75" customHeight="1">
      <c r="A48" s="29"/>
      <c r="B48" s="16"/>
      <c r="C48" s="29"/>
      <c r="D48" s="29"/>
      <c r="E48" s="29"/>
      <c r="F48" s="29"/>
      <c r="G48" s="29"/>
      <c r="H48" s="41"/>
      <c r="I48" s="41"/>
      <c r="J48" s="51"/>
      <c r="K48" s="29"/>
      <c r="L48" s="29"/>
      <c r="M48" s="29"/>
      <c r="N48" s="29"/>
      <c r="O48" s="45" t="str">
        <f t="shared" si="3"/>
        <v/>
      </c>
      <c r="P48" s="52"/>
      <c r="Q48" s="47" t="str">
        <f>IFERROR(__xludf.DUMMYFUNCTION("IFS(F48&gt;26,""нет нормы"",C48="""","""",C48&lt;&gt;""МКД"",""нет нормы"",H48&lt;&gt;""Типовой"",""нет нормы"", AND(F48&lt;26,C48=""МКД""),ifs(FILTER('Нормативные показатели (рабочая'!O:O,'Нормативные показатели (рабочая'!K:K=C48,'Нормативные показатели (рабочая'!L:L=H48,"&amp;"'Нормативные показатели (рабочая'!N:N=""на ОРП"",'Нормативные показатели (рабочая'!M:M=""min"")&gt;O48,(-1) *(FILTER('Нормативные показатели (рабочая'!O:O,'Нормативные показатели (рабочая'!K:K=C48,'Нормативные показатели (рабочая'!L:L=H48,'Нормативные показа"&amp;"тели (рабочая'!N:N=""на ОРП"",'Нормативные показатели (рабочая'!M:M=""min"")-O48)/FILTER('Нормативные показатели (рабочая'!O:O,'Нормативные показатели (рабочая'!K:K=C48,'Нормативные показатели (рабочая'!L:L=H48,'Нормативные показатели (рабочая'!N:N=""на О"&amp;"РП"",'Нормативные показатели (рабочая'!M:M=""min""),AND(O48&gt;=FILTER('Нормативные показатели (рабочая'!O:O,'Нормативные показатели (рабочая'!K:K=C48,'Нормативные показатели (рабочая'!L:L=H48,'Нормативные показатели (рабочая'!N:N=""на ОРП"",'Нормативные пок"&amp;"азатели (рабочая'!M:M=""min""),O48&lt;=FILTER('Нормативные показатели (рабочая'!O:O,'Нормативные показатели (рабочая'!K:K=C48,'Нормативные показатели (рабочая'!L:L=H48,'Нормативные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(рабочая'!K:K=C48,'Нормативные показатели (рабочая'!L:L=H48,'Нормативные показатели (рабочая'!N:N=""на ОРП"",'Нормативные показатели (рабочая'!M:M=""max"")&lt;O48,(O48-FILTER"&amp;"('Нормативные показатели (рабочая'!O:O,'Нормативные показатели (рабочая'!K:K=C48,'Нормативные показатели (рабочая'!L:L=H48,'Нормативные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(рабочая'!K:K=C48,'Нормативные показатели (рабочая'!L:L=H48,'Нормативные показатели (рабочая'!N:N=""на ОРП"",'Нормативные показатели (рабочая'!M:M=""max"")))"),"")</f>
        <v/>
      </c>
      <c r="R48" s="53"/>
      <c r="S48" s="52"/>
      <c r="T48" s="48" t="str">
        <f>IFERROR(__xludf.DUMMYFUNCTION("IFS(F48&gt;26,""нет нормы"",C48="""","""",C48&lt;&gt;""МКД"",""нет нормы"",H48&lt;&gt;""Типовой"",""нет нормы"", AND(F48&lt;26,C48=""МКД""),ifs(FILTER('Нормативные показатели (рабочая'!O:O,'Нормативные показатели (рабочая'!K:K=C48,'Нормативные показатели (рабочая'!L:L=H48,"&amp;"'Нормативные показатели (рабочая'!N:N=""на S плиты"",'Нормативные показатели (рабочая'!M:M=""min"")&gt;R48,(-1) *(FILTER('Нормативные показатели (рабочая'!O:O,'Нормативные показатели (рабочая'!K:K=C48,'Нормативные показатели (рабочая'!L:L=H48,'Нормативные по"&amp;"казатели (рабочая'!N:N=""на S плиты"",'Нормативные показатели (рабочая'!M:M=""min"")-R48)/FILTER('Нормативные показатели (рабочая'!O:O,'Нормативные показатели (рабочая'!K:K=C48,'Нормативные показатели (рабочая'!L:L=H48,'Нормативные показатели (рабочая'!N:"&amp;"N=""на S плиты"",'Нормативные показатели (рабочая'!M:M=""min""),AND(R48&gt;=FILTER('Нормативные показатели (рабочая'!O:O,'Нормативные показатели (рабочая'!K:K=C48,'Нормативные показатели (рабочая'!L:L=H48,'Нормативные показатели (рабочая'!N:N=""на S плиты"","&amp;"'Нормативные показатели (рабочая'!M:M=""min""),R48&lt;=FILTER('Нормативные показатели (рабочая'!O:O,'Нормативные показатели (рабочая'!K:K=C48,'Нормативные показатели (рабочая'!L:L=H48,'Нормативные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(рабочая'!K:K=C48,'Нормативные показатели (рабочая'!L:L=H48,'Нормативные показатели (рабочая'!N:N=""на S плиты"",'Нормативные показатели (рабочая'!M:M="&amp;"""max"")&lt;R48,(R48-FILTER('Нормативные показатели (рабочая'!O:O,'Нормативные показатели (рабочая'!K:K=C48,'Нормативные показатели (рабочая'!L:L=H48,'Нормативные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(рабочая'!K:K=C48,'Нормативные показатели (рабочая'!L:L=H48,'Нормативные показатели (рабочая'!N:N=""на S плиты"",'Нормативные показатели (рабочая'!M:M=""max"")))"),"")</f>
        <v/>
      </c>
      <c r="U48" s="20"/>
      <c r="V48" s="25"/>
      <c r="W48" s="25"/>
    </row>
    <row r="49" ht="15.75" customHeight="1">
      <c r="A49" s="29"/>
      <c r="B49" s="16"/>
      <c r="C49" s="29"/>
      <c r="D49" s="29"/>
      <c r="E49" s="29"/>
      <c r="F49" s="29"/>
      <c r="G49" s="29"/>
      <c r="H49" s="41"/>
      <c r="I49" s="41"/>
      <c r="J49" s="51"/>
      <c r="K49" s="29"/>
      <c r="L49" s="29"/>
      <c r="M49" s="29"/>
      <c r="N49" s="29"/>
      <c r="O49" s="45" t="str">
        <f t="shared" si="3"/>
        <v/>
      </c>
      <c r="P49" s="52"/>
      <c r="Q49" s="47" t="str">
        <f>IFERROR(__xludf.DUMMYFUNCTION("IFS(F49&gt;26,""нет нормы"",C49="""","""",C49&lt;&gt;""МКД"",""нет нормы"",H49&lt;&gt;""Типовой"",""нет нормы"", AND(F49&lt;26,C49=""МКД""),ifs(FILTER('Нормативные показатели (рабочая'!O:O,'Нормативные показатели (рабочая'!K:K=C49,'Нормативные показатели (рабочая'!L:L=H49,"&amp;"'Нормативные показатели (рабочая'!N:N=""на ОРП"",'Нормативные показатели (рабочая'!M:M=""min"")&gt;O49,(-1) *(FILTER('Нормативные показатели (рабочая'!O:O,'Нормативные показатели (рабочая'!K:K=C49,'Нормативные показатели (рабочая'!L:L=H49,'Нормативные показа"&amp;"тели (рабочая'!N:N=""на ОРП"",'Нормативные показатели (рабочая'!M:M=""min"")-O49)/FILTER('Нормативные показатели (рабочая'!O:O,'Нормативные показатели (рабочая'!K:K=C49,'Нормативные показатели (рабочая'!L:L=H49,'Нормативные показатели (рабочая'!N:N=""на О"&amp;"РП"",'Нормативные показатели (рабочая'!M:M=""min""),AND(O49&gt;=FILTER('Нормативные показатели (рабочая'!O:O,'Нормативные показатели (рабочая'!K:K=C49,'Нормативные показатели (рабочая'!L:L=H49,'Нормативные показатели (рабочая'!N:N=""на ОРП"",'Нормативные пок"&amp;"азатели (рабочая'!M:M=""min""),O49&lt;=FILTER('Нормативные показатели (рабочая'!O:O,'Нормативные показатели (рабочая'!K:K=C49,'Нормативные показатели (рабочая'!L:L=H49,'Нормативные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(рабочая'!K:K=C49,'Нормативные показатели (рабочая'!L:L=H49,'Нормативные показатели (рабочая'!N:N=""на ОРП"",'Нормативные показатели (рабочая'!M:M=""max"")&lt;O49,(O49-FILTER"&amp;"('Нормативные показатели (рабочая'!O:O,'Нормативные показатели (рабочая'!K:K=C49,'Нормативные показатели (рабочая'!L:L=H49,'Нормативные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(рабочая'!K:K=C49,'Нормативные показатели (рабочая'!L:L=H49,'Нормативные показатели (рабочая'!N:N=""на ОРП"",'Нормативные показатели (рабочая'!M:M=""max"")))"),"")</f>
        <v/>
      </c>
      <c r="R49" s="53"/>
      <c r="S49" s="52"/>
      <c r="T49" s="48" t="str">
        <f>IFERROR(__xludf.DUMMYFUNCTION("IFS(F49&gt;26,""нет нормы"",C49="""","""",C49&lt;&gt;""МКД"",""нет нормы"",H49&lt;&gt;""Типовой"",""нет нормы"", AND(F49&lt;26,C49=""МКД""),ifs(FILTER('Нормативные показатели (рабочая'!O:O,'Нормативные показатели (рабочая'!K:K=C49,'Нормативные показатели (рабочая'!L:L=H49,"&amp;"'Нормативные показатели (рабочая'!N:N=""на S плиты"",'Нормативные показатели (рабочая'!M:M=""min"")&gt;R49,(-1) *(FILTER('Нормативные показатели (рабочая'!O:O,'Нормативные показатели (рабочая'!K:K=C49,'Нормативные показатели (рабочая'!L:L=H49,'Нормативные по"&amp;"казатели (рабочая'!N:N=""на S плиты"",'Нормативные показатели (рабочая'!M:M=""min"")-R49)/FILTER('Нормативные показатели (рабочая'!O:O,'Нормативные показатели (рабочая'!K:K=C49,'Нормативные показатели (рабочая'!L:L=H49,'Нормативные показатели (рабочая'!N:"&amp;"N=""на S плиты"",'Нормативные показатели (рабочая'!M:M=""min""),AND(R49&gt;=FILTER('Нормативные показатели (рабочая'!O:O,'Нормативные показатели (рабочая'!K:K=C49,'Нормативные показатели (рабочая'!L:L=H49,'Нормативные показатели (рабочая'!N:N=""на S плиты"","&amp;"'Нормативные показатели (рабочая'!M:M=""min""),R49&lt;=FILTER('Нормативные показатели (рабочая'!O:O,'Нормативные показатели (рабочая'!K:K=C49,'Нормативные показатели (рабочая'!L:L=H49,'Нормативные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(рабочая'!K:K=C49,'Нормативные показатели (рабочая'!L:L=H49,'Нормативные показатели (рабочая'!N:N=""на S плиты"",'Нормативные показатели (рабочая'!M:M="&amp;"""max"")&lt;R49,(R49-FILTER('Нормативные показатели (рабочая'!O:O,'Нормативные показатели (рабочая'!K:K=C49,'Нормативные показатели (рабочая'!L:L=H49,'Нормативные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(рабочая'!K:K=C49,'Нормативные показатели (рабочая'!L:L=H49,'Нормативные показатели (рабочая'!N:N=""на S плиты"",'Нормативные показатели (рабочая'!M:M=""max"")))"),"")</f>
        <v/>
      </c>
      <c r="U49" s="20"/>
      <c r="V49" s="25"/>
      <c r="W49" s="25"/>
    </row>
    <row r="50" ht="15.75" customHeight="1">
      <c r="A50" s="29"/>
      <c r="B50" s="16"/>
      <c r="C50" s="29"/>
      <c r="D50" s="29"/>
      <c r="E50" s="29"/>
      <c r="F50" s="29"/>
      <c r="G50" s="29"/>
      <c r="H50" s="41"/>
      <c r="I50" s="41"/>
      <c r="J50" s="51"/>
      <c r="K50" s="29"/>
      <c r="L50" s="29"/>
      <c r="M50" s="29"/>
      <c r="N50" s="29"/>
      <c r="O50" s="45" t="str">
        <f t="shared" si="3"/>
        <v/>
      </c>
      <c r="P50" s="52"/>
      <c r="Q50" s="47" t="str">
        <f>IFERROR(__xludf.DUMMYFUNCTION("IFS(F50&gt;26,""нет нормы"",C50="""","""",C50&lt;&gt;""МКД"",""нет нормы"",H50&lt;&gt;""Типовой"",""нет нормы"", AND(F50&lt;26,C50=""МКД""),ifs(FILTER('Нормативные показатели (рабочая'!O:O,'Нормативные показатели (рабочая'!K:K=C50,'Нормативные показатели (рабочая'!L:L=H50,"&amp;"'Нормативные показатели (рабочая'!N:N=""на ОРП"",'Нормативные показатели (рабочая'!M:M=""min"")&gt;O50,(-1) *(FILTER('Нормативные показатели (рабочая'!O:O,'Нормативные показатели (рабочая'!K:K=C50,'Нормативные показатели (рабочая'!L:L=H50,'Нормативные показа"&amp;"тели (рабочая'!N:N=""на ОРП"",'Нормативные показатели (рабочая'!M:M=""min"")-O50)/FILTER('Нормативные показатели (рабочая'!O:O,'Нормативные показатели (рабочая'!K:K=C50,'Нормативные показатели (рабочая'!L:L=H50,'Нормативные показатели (рабочая'!N:N=""на О"&amp;"РП"",'Нормативные показатели (рабочая'!M:M=""min""),AND(O50&gt;=FILTER('Нормативные показатели (рабочая'!O:O,'Нормативные показатели (рабочая'!K:K=C50,'Нормативные показатели (рабочая'!L:L=H50,'Нормативные показатели (рабочая'!N:N=""на ОРП"",'Нормативные пок"&amp;"азатели (рабочая'!M:M=""min""),O50&lt;=FILTER('Нормативные показатели (рабочая'!O:O,'Нормативные показатели (рабочая'!K:K=C50,'Нормативные показатели (рабочая'!L:L=H50,'Нормативные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(рабочая'!K:K=C50,'Нормативные показатели (рабочая'!L:L=H50,'Нормативные показатели (рабочая'!N:N=""на ОРП"",'Нормативные показатели (рабочая'!M:M=""max"")&lt;O50,(O50-FILTER"&amp;"('Нормативные показатели (рабочая'!O:O,'Нормативные показатели (рабочая'!K:K=C50,'Нормативные показатели (рабочая'!L:L=H50,'Нормативные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(рабочая'!K:K=C50,'Нормативные показатели (рабочая'!L:L=H50,'Нормативные показатели (рабочая'!N:N=""на ОРП"",'Нормативные показатели (рабочая'!M:M=""max"")))"),"")</f>
        <v/>
      </c>
      <c r="R50" s="53"/>
      <c r="S50" s="52"/>
      <c r="T50" s="48" t="str">
        <f>IFERROR(__xludf.DUMMYFUNCTION("IFS(F50&gt;26,""нет нормы"",C50="""","""",C50&lt;&gt;""МКД"",""нет нормы"",H50&lt;&gt;""Типовой"",""нет нормы"", AND(F50&lt;26,C50=""МКД""),ifs(FILTER('Нормативные показатели (рабочая'!O:O,'Нормативные показатели (рабочая'!K:K=C50,'Нормативные показатели (рабочая'!L:L=H50,"&amp;"'Нормативные показатели (рабочая'!N:N=""на S плиты"",'Нормативные показатели (рабочая'!M:M=""min"")&gt;R50,(-1) *(FILTER('Нормативные показатели (рабочая'!O:O,'Нормативные показатели (рабочая'!K:K=C50,'Нормативные показатели (рабочая'!L:L=H50,'Нормативные по"&amp;"казатели (рабочая'!N:N=""на S плиты"",'Нормативные показатели (рабочая'!M:M=""min"")-R50)/FILTER('Нормативные показатели (рабочая'!O:O,'Нормативные показатели (рабочая'!K:K=C50,'Нормативные показатели (рабочая'!L:L=H50,'Нормативные показатели (рабочая'!N:"&amp;"N=""на S плиты"",'Нормативные показатели (рабочая'!M:M=""min""),AND(R50&gt;=FILTER('Нормативные показатели (рабочая'!O:O,'Нормативные показатели (рабочая'!K:K=C50,'Нормативные показатели (рабочая'!L:L=H50,'Нормативные показатели (рабочая'!N:N=""на S плиты"","&amp;"'Нормативные показатели (рабочая'!M:M=""min""),R50&lt;=FILTER('Нормативные показатели (рабочая'!O:O,'Нормативные показатели (рабочая'!K:K=C50,'Нормативные показатели (рабочая'!L:L=H50,'Нормативные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(рабочая'!K:K=C50,'Нормативные показатели (рабочая'!L:L=H50,'Нормативные показатели (рабочая'!N:N=""на S плиты"",'Нормативные показатели (рабочая'!M:M="&amp;"""max"")&lt;R50,(R50-FILTER('Нормативные показатели (рабочая'!O:O,'Нормативные показатели (рабочая'!K:K=C50,'Нормативные показатели (рабочая'!L:L=H50,'Нормативные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(рабочая'!K:K=C50,'Нормативные показатели (рабочая'!L:L=H50,'Нормативные показатели (рабочая'!N:N=""на S плиты"",'Нормативные показатели (рабочая'!M:M=""max"")))"),"")</f>
        <v/>
      </c>
      <c r="U50" s="20"/>
      <c r="V50" s="25"/>
      <c r="W50" s="25"/>
    </row>
    <row r="51" ht="15.75" customHeight="1">
      <c r="A51" s="29"/>
      <c r="B51" s="16"/>
      <c r="C51" s="29"/>
      <c r="D51" s="29"/>
      <c r="E51" s="29"/>
      <c r="F51" s="29"/>
      <c r="G51" s="29"/>
      <c r="H51" s="41"/>
      <c r="I51" s="41"/>
      <c r="J51" s="51"/>
      <c r="K51" s="29"/>
      <c r="L51" s="29"/>
      <c r="M51" s="29"/>
      <c r="N51" s="29"/>
      <c r="O51" s="45" t="str">
        <f t="shared" si="3"/>
        <v/>
      </c>
      <c r="P51" s="52"/>
      <c r="Q51" s="47" t="str">
        <f>IFERROR(__xludf.DUMMYFUNCTION("IFS(F51&gt;26,""нет нормы"",C51="""","""",C51&lt;&gt;""МКД"",""нет нормы"",H51&lt;&gt;""Типовой"",""нет нормы"", AND(F51&lt;26,C51=""МКД""),ifs(FILTER('Нормативные показатели (рабочая'!O:O,'Нормативные показатели (рабочая'!K:K=C51,'Нормативные показатели (рабочая'!L:L=H51,"&amp;"'Нормативные показатели (рабочая'!N:N=""на ОРП"",'Нормативные показатели (рабочая'!M:M=""min"")&gt;O51,(-1) *(FILTER('Нормативные показатели (рабочая'!O:O,'Нормативные показатели (рабочая'!K:K=C51,'Нормативные показатели (рабочая'!L:L=H51,'Нормативные показа"&amp;"тели (рабочая'!N:N=""на ОРП"",'Нормативные показатели (рабочая'!M:M=""min"")-O51)/FILTER('Нормативные показатели (рабочая'!O:O,'Нормативные показатели (рабочая'!K:K=C51,'Нормативные показатели (рабочая'!L:L=H51,'Нормативные показатели (рабочая'!N:N=""на О"&amp;"РП"",'Нормативные показатели (рабочая'!M:M=""min""),AND(O51&gt;=FILTER('Нормативные показатели (рабочая'!O:O,'Нормативные показатели (рабочая'!K:K=C51,'Нормативные показатели (рабочая'!L:L=H51,'Нормативные показатели (рабочая'!N:N=""на ОРП"",'Нормативные пок"&amp;"азатели (рабочая'!M:M=""min""),O51&lt;=FILTER('Нормативные показатели (рабочая'!O:O,'Нормативные показатели (рабочая'!K:K=C51,'Нормативные показатели (рабочая'!L:L=H51,'Нормативные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(рабочая'!K:K=C51,'Нормативные показатели (рабочая'!L:L=H51,'Нормативные показатели (рабочая'!N:N=""на ОРП"",'Нормативные показатели (рабочая'!M:M=""max"")&lt;O51,(O51-FILTER"&amp;"('Нормативные показатели (рабочая'!O:O,'Нормативные показатели (рабочая'!K:K=C51,'Нормативные показатели (рабочая'!L:L=H51,'Нормативные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(рабочая'!K:K=C51,'Нормативные показатели (рабочая'!L:L=H51,'Нормативные показатели (рабочая'!N:N=""на ОРП"",'Нормативные показатели (рабочая'!M:M=""max"")))"),"")</f>
        <v/>
      </c>
      <c r="R51" s="53"/>
      <c r="S51" s="52"/>
      <c r="T51" s="48" t="str">
        <f>IFERROR(__xludf.DUMMYFUNCTION("IFS(F51&gt;26,""нет нормы"",C51="""","""",C51&lt;&gt;""МКД"",""нет нормы"",H51&lt;&gt;""Типовой"",""нет нормы"", AND(F51&lt;26,C51=""МКД""),ifs(FILTER('Нормативные показатели (рабочая'!O:O,'Нормативные показатели (рабочая'!K:K=C51,'Нормативные показатели (рабочая'!L:L=H51,"&amp;"'Нормативные показатели (рабочая'!N:N=""на S плиты"",'Нормативные показатели (рабочая'!M:M=""min"")&gt;R51,(-1) *(FILTER('Нормативные показатели (рабочая'!O:O,'Нормативные показатели (рабочая'!K:K=C51,'Нормативные показатели (рабочая'!L:L=H51,'Нормативные по"&amp;"казатели (рабочая'!N:N=""на S плиты"",'Нормативные показатели (рабочая'!M:M=""min"")-R51)/FILTER('Нормативные показатели (рабочая'!O:O,'Нормативные показатели (рабочая'!K:K=C51,'Нормативные показатели (рабочая'!L:L=H51,'Нормативные показатели (рабочая'!N:"&amp;"N=""на S плиты"",'Нормативные показатели (рабочая'!M:M=""min""),AND(R51&gt;=FILTER('Нормативные показатели (рабочая'!O:O,'Нормативные показатели (рабочая'!K:K=C51,'Нормативные показатели (рабочая'!L:L=H51,'Нормативные показатели (рабочая'!N:N=""на S плиты"","&amp;"'Нормативные показатели (рабочая'!M:M=""min""),R51&lt;=FILTER('Нормативные показатели (рабочая'!O:O,'Нормативные показатели (рабочая'!K:K=C51,'Нормативные показатели (рабочая'!L:L=H51,'Нормативные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(рабочая'!K:K=C51,'Нормативные показатели (рабочая'!L:L=H51,'Нормативные показатели (рабочая'!N:N=""на S плиты"",'Нормативные показатели (рабочая'!M:M="&amp;"""max"")&lt;R51,(R51-FILTER('Нормативные показатели (рабочая'!O:O,'Нормативные показатели (рабочая'!K:K=C51,'Нормативные показатели (рабочая'!L:L=H51,'Нормативные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(рабочая'!K:K=C51,'Нормативные показатели (рабочая'!L:L=H51,'Нормативные показатели (рабочая'!N:N=""на S плиты"",'Нормативные показатели (рабочая'!M:M=""max"")))"),"")</f>
        <v/>
      </c>
      <c r="U51" s="20"/>
      <c r="V51" s="25"/>
      <c r="W51" s="25"/>
    </row>
    <row r="52" ht="15.75" customHeight="1">
      <c r="A52" s="29"/>
      <c r="B52" s="16"/>
      <c r="C52" s="29"/>
      <c r="D52" s="29"/>
      <c r="E52" s="29"/>
      <c r="F52" s="29"/>
      <c r="G52" s="29"/>
      <c r="H52" s="41"/>
      <c r="I52" s="41"/>
      <c r="J52" s="51"/>
      <c r="K52" s="29"/>
      <c r="L52" s="29"/>
      <c r="M52" s="29"/>
      <c r="N52" s="29"/>
      <c r="O52" s="45" t="str">
        <f t="shared" si="3"/>
        <v/>
      </c>
      <c r="P52" s="52"/>
      <c r="Q52" s="47" t="str">
        <f>IFERROR(__xludf.DUMMYFUNCTION("IFS(F52&gt;26,""нет нормы"",C52="""","""",C52&lt;&gt;""МКД"",""нет нормы"",H52&lt;&gt;""Типовой"",""нет нормы"", AND(F52&lt;26,C52=""МКД""),ifs(FILTER('Нормативные показатели (рабочая'!O:O,'Нормативные показатели (рабочая'!K:K=C52,'Нормативные показатели (рабочая'!L:L=H52,"&amp;"'Нормативные показатели (рабочая'!N:N=""на ОРП"",'Нормативные показатели (рабочая'!M:M=""min"")&gt;O52,(-1) *(FILTER('Нормативные показатели (рабочая'!O:O,'Нормативные показатели (рабочая'!K:K=C52,'Нормативные показатели (рабочая'!L:L=H52,'Нормативные показа"&amp;"тели (рабочая'!N:N=""на ОРП"",'Нормативные показатели (рабочая'!M:M=""min"")-O52)/FILTER('Нормативные показатели (рабочая'!O:O,'Нормативные показатели (рабочая'!K:K=C52,'Нормативные показатели (рабочая'!L:L=H52,'Нормативные показатели (рабочая'!N:N=""на О"&amp;"РП"",'Нормативные показатели (рабочая'!M:M=""min""),AND(O52&gt;=FILTER('Нормативные показатели (рабочая'!O:O,'Нормативные показатели (рабочая'!K:K=C52,'Нормативные показатели (рабочая'!L:L=H52,'Нормативные показатели (рабочая'!N:N=""на ОРП"",'Нормативные пок"&amp;"азатели (рабочая'!M:M=""min""),O52&lt;=FILTER('Нормативные показатели (рабочая'!O:O,'Нормативные показатели (рабочая'!K:K=C52,'Нормативные показатели (рабочая'!L:L=H52,'Нормативные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(рабочая'!K:K=C52,'Нормативные показатели (рабочая'!L:L=H52,'Нормативные показатели (рабочая'!N:N=""на ОРП"",'Нормативные показатели (рабочая'!M:M=""max"")&lt;O52,(O52-FILTER"&amp;"('Нормативные показатели (рабочая'!O:O,'Нормативные показатели (рабочая'!K:K=C52,'Нормативные показатели (рабочая'!L:L=H52,'Нормативные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(рабочая'!K:K=C52,'Нормативные показатели (рабочая'!L:L=H52,'Нормативные показатели (рабочая'!N:N=""на ОРП"",'Нормативные показатели (рабочая'!M:M=""max"")))"),"")</f>
        <v/>
      </c>
      <c r="R52" s="53"/>
      <c r="S52" s="52"/>
      <c r="T52" s="48" t="str">
        <f>IFERROR(__xludf.DUMMYFUNCTION("IFS(F52&gt;26,""нет нормы"",C52="""","""",C52&lt;&gt;""МКД"",""нет нормы"",H52&lt;&gt;""Типовой"",""нет нормы"", AND(F52&lt;26,C52=""МКД""),ifs(FILTER('Нормативные показатели (рабочая'!O:O,'Нормативные показатели (рабочая'!K:K=C52,'Нормативные показатели (рабочая'!L:L=H52,"&amp;"'Нормативные показатели (рабочая'!N:N=""на S плиты"",'Нормативные показатели (рабочая'!M:M=""min"")&gt;R52,(-1) *(FILTER('Нормативные показатели (рабочая'!O:O,'Нормативные показатели (рабочая'!K:K=C52,'Нормативные показатели (рабочая'!L:L=H52,'Нормативные по"&amp;"казатели (рабочая'!N:N=""на S плиты"",'Нормативные показатели (рабочая'!M:M=""min"")-R52)/FILTER('Нормативные показатели (рабочая'!O:O,'Нормативные показатели (рабочая'!K:K=C52,'Нормативные показатели (рабочая'!L:L=H52,'Нормативные показатели (рабочая'!N:"&amp;"N=""на S плиты"",'Нормативные показатели (рабочая'!M:M=""min""),AND(R52&gt;=FILTER('Нормативные показатели (рабочая'!O:O,'Нормативные показатели (рабочая'!K:K=C52,'Нормативные показатели (рабочая'!L:L=H52,'Нормативные показатели (рабочая'!N:N=""на S плиты"","&amp;"'Нормативные показатели (рабочая'!M:M=""min""),R52&lt;=FILTER('Нормативные показатели (рабочая'!O:O,'Нормативные показатели (рабочая'!K:K=C52,'Нормативные показатели (рабочая'!L:L=H52,'Нормативные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(рабочая'!K:K=C52,'Нормативные показатели (рабочая'!L:L=H52,'Нормативные показатели (рабочая'!N:N=""на S плиты"",'Нормативные показатели (рабочая'!M:M="&amp;"""max"")&lt;R52,(R52-FILTER('Нормативные показатели (рабочая'!O:O,'Нормативные показатели (рабочая'!K:K=C52,'Нормативные показатели (рабочая'!L:L=H52,'Нормативные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(рабочая'!K:K=C52,'Нормативные показатели (рабочая'!L:L=H52,'Нормативные показатели (рабочая'!N:N=""на S плиты"",'Нормативные показатели (рабочая'!M:M=""max"")))"),"")</f>
        <v/>
      </c>
      <c r="U52" s="20"/>
      <c r="V52" s="25"/>
      <c r="W52" s="25"/>
    </row>
    <row r="53" ht="15.75" customHeight="1">
      <c r="A53" s="29"/>
      <c r="B53" s="16"/>
      <c r="C53" s="29"/>
      <c r="D53" s="29"/>
      <c r="E53" s="29"/>
      <c r="F53" s="29"/>
      <c r="G53" s="29"/>
      <c r="H53" s="41"/>
      <c r="I53" s="41"/>
      <c r="J53" s="51"/>
      <c r="K53" s="29"/>
      <c r="L53" s="29"/>
      <c r="M53" s="29"/>
      <c r="N53" s="29"/>
      <c r="O53" s="45" t="str">
        <f t="shared" si="3"/>
        <v/>
      </c>
      <c r="P53" s="52"/>
      <c r="Q53" s="47" t="str">
        <f>IFERROR(__xludf.DUMMYFUNCTION("IFS(F53&gt;26,""нет нормы"",C53="""","""",C53&lt;&gt;""МКД"",""нет нормы"",H53&lt;&gt;""Типовой"",""нет нормы"", AND(F53&lt;26,C53=""МКД""),ifs(FILTER('Нормативные показатели (рабочая'!O:O,'Нормативные показатели (рабочая'!K:K=C53,'Нормативные показатели (рабочая'!L:L=H53,"&amp;"'Нормативные показатели (рабочая'!N:N=""на ОРП"",'Нормативные показатели (рабочая'!M:M=""min"")&gt;O53,(-1) *(FILTER('Нормативные показатели (рабочая'!O:O,'Нормативные показатели (рабочая'!K:K=C53,'Нормативные показатели (рабочая'!L:L=H53,'Нормативные показа"&amp;"тели (рабочая'!N:N=""на ОРП"",'Нормативные показатели (рабочая'!M:M=""min"")-O53)/FILTER('Нормативные показатели (рабочая'!O:O,'Нормативные показатели (рабочая'!K:K=C53,'Нормативные показатели (рабочая'!L:L=H53,'Нормативные показатели (рабочая'!N:N=""на О"&amp;"РП"",'Нормативные показатели (рабочая'!M:M=""min""),AND(O53&gt;=FILTER('Нормативные показатели (рабочая'!O:O,'Нормативные показатели (рабочая'!K:K=C53,'Нормативные показатели (рабочая'!L:L=H53,'Нормативные показатели (рабочая'!N:N=""на ОРП"",'Нормативные пок"&amp;"азатели (рабочая'!M:M=""min""),O53&lt;=FILTER('Нормативные показатели (рабочая'!O:O,'Нормативные показатели (рабочая'!K:K=C53,'Нормативные показатели (рабочая'!L:L=H53,'Нормативные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(рабочая'!K:K=C53,'Нормативные показатели (рабочая'!L:L=H53,'Нормативные показатели (рабочая'!N:N=""на ОРП"",'Нормативные показатели (рабочая'!M:M=""max"")&lt;O53,(O53-FILTER"&amp;"('Нормативные показатели (рабочая'!O:O,'Нормативные показатели (рабочая'!K:K=C53,'Нормативные показатели (рабочая'!L:L=H53,'Нормативные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(рабочая'!K:K=C53,'Нормативные показатели (рабочая'!L:L=H53,'Нормативные показатели (рабочая'!N:N=""на ОРП"",'Нормативные показатели (рабочая'!M:M=""max"")))"),"")</f>
        <v/>
      </c>
      <c r="R53" s="53"/>
      <c r="S53" s="52"/>
      <c r="T53" s="48" t="str">
        <f>IFERROR(__xludf.DUMMYFUNCTION("IFS(F53&gt;26,""нет нормы"",C53="""","""",C53&lt;&gt;""МКД"",""нет нормы"",H53&lt;&gt;""Типовой"",""нет нормы"", AND(F53&lt;26,C53=""МКД""),ifs(FILTER('Нормативные показатели (рабочая'!O:O,'Нормативные показатели (рабочая'!K:K=C53,'Нормативные показатели (рабочая'!L:L=H53,"&amp;"'Нормативные показатели (рабочая'!N:N=""на S плиты"",'Нормативные показатели (рабочая'!M:M=""min"")&gt;R53,(-1) *(FILTER('Нормативные показатели (рабочая'!O:O,'Нормативные показатели (рабочая'!K:K=C53,'Нормативные показатели (рабочая'!L:L=H53,'Нормативные по"&amp;"казатели (рабочая'!N:N=""на S плиты"",'Нормативные показатели (рабочая'!M:M=""min"")-R53)/FILTER('Нормативные показатели (рабочая'!O:O,'Нормативные показатели (рабочая'!K:K=C53,'Нормативные показатели (рабочая'!L:L=H53,'Нормативные показатели (рабочая'!N:"&amp;"N=""на S плиты"",'Нормативные показатели (рабочая'!M:M=""min""),AND(R53&gt;=FILTER('Нормативные показатели (рабочая'!O:O,'Нормативные показатели (рабочая'!K:K=C53,'Нормативные показатели (рабочая'!L:L=H53,'Нормативные показатели (рабочая'!N:N=""на S плиты"","&amp;"'Нормативные показатели (рабочая'!M:M=""min""),R53&lt;=FILTER('Нормативные показатели (рабочая'!O:O,'Нормативные показатели (рабочая'!K:K=C53,'Нормативные показатели (рабочая'!L:L=H53,'Нормативные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(рабочая'!K:K=C53,'Нормативные показатели (рабочая'!L:L=H53,'Нормативные показатели (рабочая'!N:N=""на S плиты"",'Нормативные показатели (рабочая'!M:M="&amp;"""max"")&lt;R53,(R53-FILTER('Нормативные показатели (рабочая'!O:O,'Нормативные показатели (рабочая'!K:K=C53,'Нормативные показатели (рабочая'!L:L=H53,'Нормативные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(рабочая'!K:K=C53,'Нормативные показатели (рабочая'!L:L=H53,'Нормативные показатели (рабочая'!N:N=""на S плиты"",'Нормативные показатели (рабочая'!M:M=""max"")))"),"")</f>
        <v/>
      </c>
      <c r="U53" s="20"/>
      <c r="V53" s="25"/>
      <c r="W53" s="25"/>
    </row>
    <row r="54" ht="15.75" customHeight="1">
      <c r="A54" s="29"/>
      <c r="B54" s="16"/>
      <c r="C54" s="29"/>
      <c r="D54" s="29"/>
      <c r="E54" s="29"/>
      <c r="F54" s="29"/>
      <c r="G54" s="29"/>
      <c r="H54" s="41"/>
      <c r="I54" s="41"/>
      <c r="J54" s="51"/>
      <c r="K54" s="29"/>
      <c r="L54" s="29"/>
      <c r="M54" s="29"/>
      <c r="N54" s="29"/>
      <c r="O54" s="45" t="str">
        <f t="shared" si="3"/>
        <v/>
      </c>
      <c r="P54" s="52"/>
      <c r="Q54" s="47" t="str">
        <f>IFERROR(__xludf.DUMMYFUNCTION("IFS(F54&gt;26,""нет нормы"",C54="""","""",C54&lt;&gt;""МКД"",""нет нормы"",H54&lt;&gt;""Типовой"",""нет нормы"", AND(F54&lt;26,C54=""МКД""),ifs(FILTER('Нормативные показатели (рабочая'!O:O,'Нормативные показатели (рабочая'!K:K=C54,'Нормативные показатели (рабочая'!L:L=H54,"&amp;"'Нормативные показатели (рабочая'!N:N=""на ОРП"",'Нормативные показатели (рабочая'!M:M=""min"")&gt;O54,(-1) *(FILTER('Нормативные показатели (рабочая'!O:O,'Нормативные показатели (рабочая'!K:K=C54,'Нормативные показатели (рабочая'!L:L=H54,'Нормативные показа"&amp;"тели (рабочая'!N:N=""на ОРП"",'Нормативные показатели (рабочая'!M:M=""min"")-O54)/FILTER('Нормативные показатели (рабочая'!O:O,'Нормативные показатели (рабочая'!K:K=C54,'Нормативные показатели (рабочая'!L:L=H54,'Нормативные показатели (рабочая'!N:N=""на О"&amp;"РП"",'Нормативные показатели (рабочая'!M:M=""min""),AND(O54&gt;=FILTER('Нормативные показатели (рабочая'!O:O,'Нормативные показатели (рабочая'!K:K=C54,'Нормативные показатели (рабочая'!L:L=H54,'Нормативные показатели (рабочая'!N:N=""на ОРП"",'Нормативные пок"&amp;"азатели (рабочая'!M:M=""min""),O54&lt;=FILTER('Нормативные показатели (рабочая'!O:O,'Нормативные показатели (рабочая'!K:K=C54,'Нормативные показатели (рабочая'!L:L=H54,'Нормативные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(рабочая'!K:K=C54,'Нормативные показатели (рабочая'!L:L=H54,'Нормативные показатели (рабочая'!N:N=""на ОРП"",'Нормативные показатели (рабочая'!M:M=""max"")&lt;O54,(O54-FILTER"&amp;"('Нормативные показатели (рабочая'!O:O,'Нормативные показатели (рабочая'!K:K=C54,'Нормативные показатели (рабочая'!L:L=H54,'Нормативные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(рабочая'!K:K=C54,'Нормативные показатели (рабочая'!L:L=H54,'Нормативные показатели (рабочая'!N:N=""на ОРП"",'Нормативные показатели (рабочая'!M:M=""max"")))"),"")</f>
        <v/>
      </c>
      <c r="R54" s="53"/>
      <c r="S54" s="52"/>
      <c r="T54" s="48" t="str">
        <f>IFERROR(__xludf.DUMMYFUNCTION("IFS(F54&gt;26,""нет нормы"",C54="""","""",C54&lt;&gt;""МКД"",""нет нормы"",H54&lt;&gt;""Типовой"",""нет нормы"", AND(F54&lt;26,C54=""МКД""),ifs(FILTER('Нормативные показатели (рабочая'!O:O,'Нормативные показатели (рабочая'!K:K=C54,'Нормативные показатели (рабочая'!L:L=H54,"&amp;"'Нормативные показатели (рабочая'!N:N=""на S плиты"",'Нормативные показатели (рабочая'!M:M=""min"")&gt;R54,(-1) *(FILTER('Нормативные показатели (рабочая'!O:O,'Нормативные показатели (рабочая'!K:K=C54,'Нормативные показатели (рабочая'!L:L=H54,'Нормативные по"&amp;"казатели (рабочая'!N:N=""на S плиты"",'Нормативные показатели (рабочая'!M:M=""min"")-R54)/FILTER('Нормативные показатели (рабочая'!O:O,'Нормативные показатели (рабочая'!K:K=C54,'Нормативные показатели (рабочая'!L:L=H54,'Нормативные показатели (рабочая'!N:"&amp;"N=""на S плиты"",'Нормативные показатели (рабочая'!M:M=""min""),AND(R54&gt;=FILTER('Нормативные показатели (рабочая'!O:O,'Нормативные показатели (рабочая'!K:K=C54,'Нормативные показатели (рабочая'!L:L=H54,'Нормативные показатели (рабочая'!N:N=""на S плиты"","&amp;"'Нормативные показатели (рабочая'!M:M=""min""),R54&lt;=FILTER('Нормативные показатели (рабочая'!O:O,'Нормативные показатели (рабочая'!K:K=C54,'Нормативные показатели (рабочая'!L:L=H54,'Нормативные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(рабочая'!K:K=C54,'Нормативные показатели (рабочая'!L:L=H54,'Нормативные показатели (рабочая'!N:N=""на S плиты"",'Нормативные показатели (рабочая'!M:M="&amp;"""max"")&lt;R54,(R54-FILTER('Нормативные показатели (рабочая'!O:O,'Нормативные показатели (рабочая'!K:K=C54,'Нормативные показатели (рабочая'!L:L=H54,'Нормативные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(рабочая'!K:K=C54,'Нормативные показатели (рабочая'!L:L=H54,'Нормативные показатели (рабочая'!N:N=""на S плиты"",'Нормативные показатели (рабочая'!M:M=""max"")))"),"")</f>
        <v/>
      </c>
      <c r="U54" s="20"/>
      <c r="V54" s="25"/>
      <c r="W54" s="25"/>
    </row>
    <row r="55" ht="15.75" customHeight="1">
      <c r="A55" s="29"/>
      <c r="B55" s="16"/>
      <c r="C55" s="29"/>
      <c r="D55" s="29"/>
      <c r="E55" s="29"/>
      <c r="F55" s="29"/>
      <c r="G55" s="29"/>
      <c r="H55" s="41"/>
      <c r="I55" s="41"/>
      <c r="J55" s="51"/>
      <c r="K55" s="29"/>
      <c r="L55" s="29"/>
      <c r="M55" s="29"/>
      <c r="N55" s="29"/>
      <c r="O55" s="45" t="str">
        <f t="shared" si="3"/>
        <v/>
      </c>
      <c r="P55" s="52"/>
      <c r="Q55" s="47" t="str">
        <f>IFERROR(__xludf.DUMMYFUNCTION("IFS(F55&gt;26,""нет нормы"",C55="""","""",C55&lt;&gt;""МКД"",""нет нормы"",H55&lt;&gt;""Типовой"",""нет нормы"", AND(F55&lt;26,C55=""МКД""),ifs(FILTER('Нормативные показатели (рабочая'!O:O,'Нормативные показатели (рабочая'!K:K=C55,'Нормативные показатели (рабочая'!L:L=H55,"&amp;"'Нормативные показатели (рабочая'!N:N=""на ОРП"",'Нормативные показатели (рабочая'!M:M=""min"")&gt;O55,(-1) *(FILTER('Нормативные показатели (рабочая'!O:O,'Нормативные показатели (рабочая'!K:K=C55,'Нормативные показатели (рабочая'!L:L=H55,'Нормативные показа"&amp;"тели (рабочая'!N:N=""на ОРП"",'Нормативные показатели (рабочая'!M:M=""min"")-O55)/FILTER('Нормативные показатели (рабочая'!O:O,'Нормативные показатели (рабочая'!K:K=C55,'Нормативные показатели (рабочая'!L:L=H55,'Нормативные показатели (рабочая'!N:N=""на О"&amp;"РП"",'Нормативные показатели (рабочая'!M:M=""min""),AND(O55&gt;=FILTER('Нормативные показатели (рабочая'!O:O,'Нормативные показатели (рабочая'!K:K=C55,'Нормативные показатели (рабочая'!L:L=H55,'Нормативные показатели (рабочая'!N:N=""на ОРП"",'Нормативные пок"&amp;"азатели (рабочая'!M:M=""min""),O55&lt;=FILTER('Нормативные показатели (рабочая'!O:O,'Нормативные показатели (рабочая'!K:K=C55,'Нормативные показатели (рабочая'!L:L=H55,'Нормативные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(рабочая'!K:K=C55,'Нормативные показатели (рабочая'!L:L=H55,'Нормативные показатели (рабочая'!N:N=""на ОРП"",'Нормативные показатели (рабочая'!M:M=""max"")&lt;O55,(O55-FILTER"&amp;"('Нормативные показатели (рабочая'!O:O,'Нормативные показатели (рабочая'!K:K=C55,'Нормативные показатели (рабочая'!L:L=H55,'Нормативные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(рабочая'!K:K=C55,'Нормативные показатели (рабочая'!L:L=H55,'Нормативные показатели (рабочая'!N:N=""на ОРП"",'Нормативные показатели (рабочая'!M:M=""max"")))"),"")</f>
        <v/>
      </c>
      <c r="R55" s="53"/>
      <c r="S55" s="52"/>
      <c r="T55" s="48" t="str">
        <f>IFERROR(__xludf.DUMMYFUNCTION("IFS(F55&gt;26,""нет нормы"",C55="""","""",C55&lt;&gt;""МКД"",""нет нормы"",H55&lt;&gt;""Типовой"",""нет нормы"", AND(F55&lt;26,C55=""МКД""),ifs(FILTER('Нормативные показатели (рабочая'!O:O,'Нормативные показатели (рабочая'!K:K=C55,'Нормативные показатели (рабочая'!L:L=H55,"&amp;"'Нормативные показатели (рабочая'!N:N=""на S плиты"",'Нормативные показатели (рабочая'!M:M=""min"")&gt;R55,(-1) *(FILTER('Нормативные показатели (рабочая'!O:O,'Нормативные показатели (рабочая'!K:K=C55,'Нормативные показатели (рабочая'!L:L=H55,'Нормативные по"&amp;"казатели (рабочая'!N:N=""на S плиты"",'Нормативные показатели (рабочая'!M:M=""min"")-R55)/FILTER('Нормативные показатели (рабочая'!O:O,'Нормативные показатели (рабочая'!K:K=C55,'Нормативные показатели (рабочая'!L:L=H55,'Нормативные показатели (рабочая'!N:"&amp;"N=""на S плиты"",'Нормативные показатели (рабочая'!M:M=""min""),AND(R55&gt;=FILTER('Нормативные показатели (рабочая'!O:O,'Нормативные показатели (рабочая'!K:K=C55,'Нормативные показатели (рабочая'!L:L=H55,'Нормативные показатели (рабочая'!N:N=""на S плиты"","&amp;"'Нормативные показатели (рабочая'!M:M=""min""),R55&lt;=FILTER('Нормативные показатели (рабочая'!O:O,'Нормативные показатели (рабочая'!K:K=C55,'Нормативные показатели (рабочая'!L:L=H55,'Нормативные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(рабочая'!K:K=C55,'Нормативные показатели (рабочая'!L:L=H55,'Нормативные показатели (рабочая'!N:N=""на S плиты"",'Нормативные показатели (рабочая'!M:M="&amp;"""max"")&lt;R55,(R55-FILTER('Нормативные показатели (рабочая'!O:O,'Нормативные показатели (рабочая'!K:K=C55,'Нормативные показатели (рабочая'!L:L=H55,'Нормативные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(рабочая'!K:K=C55,'Нормативные показатели (рабочая'!L:L=H55,'Нормативные показатели (рабочая'!N:N=""на S плиты"",'Нормативные показатели (рабочая'!M:M=""max"")))"),"")</f>
        <v/>
      </c>
      <c r="U55" s="20"/>
      <c r="V55" s="25"/>
      <c r="W55" s="25"/>
    </row>
    <row r="56" ht="15.75" customHeight="1">
      <c r="A56" s="29"/>
      <c r="B56" s="16"/>
      <c r="C56" s="29"/>
      <c r="D56" s="29"/>
      <c r="E56" s="29"/>
      <c r="F56" s="29"/>
      <c r="G56" s="29"/>
      <c r="H56" s="41"/>
      <c r="I56" s="41"/>
      <c r="J56" s="51"/>
      <c r="K56" s="29"/>
      <c r="L56" s="29"/>
      <c r="M56" s="29"/>
      <c r="N56" s="29"/>
      <c r="O56" s="45" t="str">
        <f t="shared" si="3"/>
        <v/>
      </c>
      <c r="P56" s="52"/>
      <c r="Q56" s="47" t="str">
        <f>IFERROR(__xludf.DUMMYFUNCTION("IFS(F56&gt;26,""нет нормы"",C56="""","""",C56&lt;&gt;""МКД"",""нет нормы"",H56&lt;&gt;""Типовой"",""нет нормы"", AND(F56&lt;26,C56=""МКД""),ifs(FILTER('Нормативные показатели (рабочая'!O:O,'Нормативные показатели (рабочая'!K:K=C56,'Нормативные показатели (рабочая'!L:L=H56,"&amp;"'Нормативные показатели (рабочая'!N:N=""на ОРП"",'Нормативные показатели (рабочая'!M:M=""min"")&gt;O56,(-1) *(FILTER('Нормативные показатели (рабочая'!O:O,'Нормативные показатели (рабочая'!K:K=C56,'Нормативные показатели (рабочая'!L:L=H56,'Нормативные показа"&amp;"тели (рабочая'!N:N=""на ОРП"",'Нормативные показатели (рабочая'!M:M=""min"")-O56)/FILTER('Нормативные показатели (рабочая'!O:O,'Нормативные показатели (рабочая'!K:K=C56,'Нормативные показатели (рабочая'!L:L=H56,'Нормативные показатели (рабочая'!N:N=""на О"&amp;"РП"",'Нормативные показатели (рабочая'!M:M=""min""),AND(O56&gt;=FILTER('Нормативные показатели (рабочая'!O:O,'Нормативные показатели (рабочая'!K:K=C56,'Нормативные показатели (рабочая'!L:L=H56,'Нормативные показатели (рабочая'!N:N=""на ОРП"",'Нормативные пок"&amp;"азатели (рабочая'!M:M=""min""),O56&lt;=FILTER('Нормативные показатели (рабочая'!O:O,'Нормативные показатели (рабочая'!K:K=C56,'Нормативные показатели (рабочая'!L:L=H56,'Нормативные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(рабочая'!K:K=C56,'Нормативные показатели (рабочая'!L:L=H56,'Нормативные показатели (рабочая'!N:N=""на ОРП"",'Нормативные показатели (рабочая'!M:M=""max"")&lt;O56,(O56-FILTER"&amp;"('Нормативные показатели (рабочая'!O:O,'Нормативные показатели (рабочая'!K:K=C56,'Нормативные показатели (рабочая'!L:L=H56,'Нормативные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(рабочая'!K:K=C56,'Нормативные показатели (рабочая'!L:L=H56,'Нормативные показатели (рабочая'!N:N=""на ОРП"",'Нормативные показатели (рабочая'!M:M=""max"")))"),"")</f>
        <v/>
      </c>
      <c r="R56" s="53"/>
      <c r="S56" s="52"/>
      <c r="T56" s="48" t="str">
        <f>IFERROR(__xludf.DUMMYFUNCTION("IFS(F56&gt;26,""нет нормы"",C56="""","""",C56&lt;&gt;""МКД"",""нет нормы"",H56&lt;&gt;""Типовой"",""нет нормы"", AND(F56&lt;26,C56=""МКД""),ifs(FILTER('Нормативные показатели (рабочая'!O:O,'Нормативные показатели (рабочая'!K:K=C56,'Нормативные показатели (рабочая'!L:L=H56,"&amp;"'Нормативные показатели (рабочая'!N:N=""на S плиты"",'Нормативные показатели (рабочая'!M:M=""min"")&gt;R56,(-1) *(FILTER('Нормативные показатели (рабочая'!O:O,'Нормативные показатели (рабочая'!K:K=C56,'Нормативные показатели (рабочая'!L:L=H56,'Нормативные по"&amp;"казатели (рабочая'!N:N=""на S плиты"",'Нормативные показатели (рабочая'!M:M=""min"")-R56)/FILTER('Нормативные показатели (рабочая'!O:O,'Нормативные показатели (рабочая'!K:K=C56,'Нормативные показатели (рабочая'!L:L=H56,'Нормативные показатели (рабочая'!N:"&amp;"N=""на S плиты"",'Нормативные показатели (рабочая'!M:M=""min""),AND(R56&gt;=FILTER('Нормативные показатели (рабочая'!O:O,'Нормативные показатели (рабочая'!K:K=C56,'Нормативные показатели (рабочая'!L:L=H56,'Нормативные показатели (рабочая'!N:N=""на S плиты"","&amp;"'Нормативные показатели (рабочая'!M:M=""min""),R56&lt;=FILTER('Нормативные показатели (рабочая'!O:O,'Нормативные показатели (рабочая'!K:K=C56,'Нормативные показатели (рабочая'!L:L=H56,'Нормативные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(рабочая'!K:K=C56,'Нормативные показатели (рабочая'!L:L=H56,'Нормативные показатели (рабочая'!N:N=""на S плиты"",'Нормативные показатели (рабочая'!M:M="&amp;"""max"")&lt;R56,(R56-FILTER('Нормативные показатели (рабочая'!O:O,'Нормативные показатели (рабочая'!K:K=C56,'Нормативные показатели (рабочая'!L:L=H56,'Нормативные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(рабочая'!K:K=C56,'Нормативные показатели (рабочая'!L:L=H56,'Нормативные показатели (рабочая'!N:N=""на S плиты"",'Нормативные показатели (рабочая'!M:M=""max"")))"),"")</f>
        <v/>
      </c>
      <c r="U56" s="20"/>
      <c r="V56" s="25"/>
      <c r="W56" s="25"/>
    </row>
    <row r="57" ht="15.75" customHeight="1">
      <c r="A57" s="29"/>
      <c r="B57" s="16"/>
      <c r="C57" s="29"/>
      <c r="D57" s="29"/>
      <c r="E57" s="29"/>
      <c r="F57" s="29"/>
      <c r="G57" s="29"/>
      <c r="H57" s="41"/>
      <c r="I57" s="41"/>
      <c r="J57" s="51"/>
      <c r="K57" s="29"/>
      <c r="L57" s="29"/>
      <c r="M57" s="29"/>
      <c r="N57" s="29"/>
      <c r="O57" s="45" t="str">
        <f t="shared" si="3"/>
        <v/>
      </c>
      <c r="P57" s="52"/>
      <c r="Q57" s="47" t="str">
        <f>IFERROR(__xludf.DUMMYFUNCTION("IFS(F57&gt;26,""нет нормы"",C57="""","""",C57&lt;&gt;""МКД"",""нет нормы"",H57&lt;&gt;""Типовой"",""нет нормы"", AND(F57&lt;26,C57=""МКД""),ifs(FILTER('Нормативные показатели (рабочая'!O:O,'Нормативные показатели (рабочая'!K:K=C57,'Нормативные показатели (рабочая'!L:L=H57,"&amp;"'Нормативные показатели (рабочая'!N:N=""на ОРП"",'Нормативные показатели (рабочая'!M:M=""min"")&gt;O57,(-1) *(FILTER('Нормативные показатели (рабочая'!O:O,'Нормативные показатели (рабочая'!K:K=C57,'Нормативные показатели (рабочая'!L:L=H57,'Нормативные показа"&amp;"тели (рабочая'!N:N=""на ОРП"",'Нормативные показатели (рабочая'!M:M=""min"")-O57)/FILTER('Нормативные показатели (рабочая'!O:O,'Нормативные показатели (рабочая'!K:K=C57,'Нормативные показатели (рабочая'!L:L=H57,'Нормативные показатели (рабочая'!N:N=""на О"&amp;"РП"",'Нормативные показатели (рабочая'!M:M=""min""),AND(O57&gt;=FILTER('Нормативные показатели (рабочая'!O:O,'Нормативные показатели (рабочая'!K:K=C57,'Нормативные показатели (рабочая'!L:L=H57,'Нормативные показатели (рабочая'!N:N=""на ОРП"",'Нормативные пок"&amp;"азатели (рабочая'!M:M=""min""),O57&lt;=FILTER('Нормативные показатели (рабочая'!O:O,'Нормативные показатели (рабочая'!K:K=C57,'Нормативные показатели (рабочая'!L:L=H57,'Нормативные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(рабочая'!K:K=C57,'Нормативные показатели (рабочая'!L:L=H57,'Нормативные показатели (рабочая'!N:N=""на ОРП"",'Нормативные показатели (рабочая'!M:M=""max"")&lt;O57,(O57-FILTER"&amp;"('Нормативные показатели (рабочая'!O:O,'Нормативные показатели (рабочая'!K:K=C57,'Нормативные показатели (рабочая'!L:L=H57,'Нормативные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(рабочая'!K:K=C57,'Нормативные показатели (рабочая'!L:L=H57,'Нормативные показатели (рабочая'!N:N=""на ОРП"",'Нормативные показатели (рабочая'!M:M=""max"")))"),"")</f>
        <v/>
      </c>
      <c r="R57" s="53"/>
      <c r="S57" s="52"/>
      <c r="T57" s="48" t="str">
        <f>IFERROR(__xludf.DUMMYFUNCTION("IFS(F57&gt;26,""нет нормы"",C57="""","""",C57&lt;&gt;""МКД"",""нет нормы"",H57&lt;&gt;""Типовой"",""нет нормы"", AND(F57&lt;26,C57=""МКД""),ifs(FILTER('Нормативные показатели (рабочая'!O:O,'Нормативные показатели (рабочая'!K:K=C57,'Нормативные показатели (рабочая'!L:L=H57,"&amp;"'Нормативные показатели (рабочая'!N:N=""на S плиты"",'Нормативные показатели (рабочая'!M:M=""min"")&gt;R57,(-1) *(FILTER('Нормативные показатели (рабочая'!O:O,'Нормативные показатели (рабочая'!K:K=C57,'Нормативные показатели (рабочая'!L:L=H57,'Нормативные по"&amp;"казатели (рабочая'!N:N=""на S плиты"",'Нормативные показатели (рабочая'!M:M=""min"")-R57)/FILTER('Нормативные показатели (рабочая'!O:O,'Нормативные показатели (рабочая'!K:K=C57,'Нормативные показатели (рабочая'!L:L=H57,'Нормативные показатели (рабочая'!N:"&amp;"N=""на S плиты"",'Нормативные показатели (рабочая'!M:M=""min""),AND(R57&gt;=FILTER('Нормативные показатели (рабочая'!O:O,'Нормативные показатели (рабочая'!K:K=C57,'Нормативные показатели (рабочая'!L:L=H57,'Нормативные показатели (рабочая'!N:N=""на S плиты"","&amp;"'Нормативные показатели (рабочая'!M:M=""min""),R57&lt;=FILTER('Нормативные показатели (рабочая'!O:O,'Нормативные показатели (рабочая'!K:K=C57,'Нормативные показатели (рабочая'!L:L=H57,'Нормативные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(рабочая'!K:K=C57,'Нормативные показатели (рабочая'!L:L=H57,'Нормативные показатели (рабочая'!N:N=""на S плиты"",'Нормативные показатели (рабочая'!M:M="&amp;"""max"")&lt;R57,(R57-FILTER('Нормативные показатели (рабочая'!O:O,'Нормативные показатели (рабочая'!K:K=C57,'Нормативные показатели (рабочая'!L:L=H57,'Нормативные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(рабочая'!K:K=C57,'Нормативные показатели (рабочая'!L:L=H57,'Нормативные показатели (рабочая'!N:N=""на S плиты"",'Нормативные показатели (рабочая'!M:M=""max"")))"),"")</f>
        <v/>
      </c>
      <c r="U57" s="20"/>
      <c r="V57" s="25"/>
      <c r="W57" s="25"/>
    </row>
    <row r="58" ht="15.75" customHeight="1">
      <c r="A58" s="29"/>
      <c r="B58" s="16"/>
      <c r="C58" s="29"/>
      <c r="D58" s="29"/>
      <c r="E58" s="29"/>
      <c r="F58" s="29"/>
      <c r="G58" s="29"/>
      <c r="H58" s="41"/>
      <c r="I58" s="41"/>
      <c r="J58" s="51"/>
      <c r="K58" s="29"/>
      <c r="L58" s="29"/>
      <c r="M58" s="29"/>
      <c r="N58" s="29"/>
      <c r="O58" s="45" t="str">
        <f t="shared" si="3"/>
        <v/>
      </c>
      <c r="P58" s="52"/>
      <c r="Q58" s="47" t="str">
        <f>IFERROR(__xludf.DUMMYFUNCTION("IFS(F58&gt;26,""нет нормы"",C58="""","""",C58&lt;&gt;""МКД"",""нет нормы"",H58&lt;&gt;""Типовой"",""нет нормы"", AND(F58&lt;26,C58=""МКД""),ifs(FILTER('Нормативные показатели (рабочая'!O:O,'Нормативные показатели (рабочая'!K:K=C58,'Нормативные показатели (рабочая'!L:L=H58,"&amp;"'Нормативные показатели (рабочая'!N:N=""на ОРП"",'Нормативные показатели (рабочая'!M:M=""min"")&gt;O58,(-1) *(FILTER('Нормативные показатели (рабочая'!O:O,'Нормативные показатели (рабочая'!K:K=C58,'Нормативные показатели (рабочая'!L:L=H58,'Нормативные показа"&amp;"тели (рабочая'!N:N=""на ОРП"",'Нормативные показатели (рабочая'!M:M=""min"")-O58)/FILTER('Нормативные показатели (рабочая'!O:O,'Нормативные показатели (рабочая'!K:K=C58,'Нормативные показатели (рабочая'!L:L=H58,'Нормативные показатели (рабочая'!N:N=""на О"&amp;"РП"",'Нормативные показатели (рабочая'!M:M=""min""),AND(O58&gt;=FILTER('Нормативные показатели (рабочая'!O:O,'Нормативные показатели (рабочая'!K:K=C58,'Нормативные показатели (рабочая'!L:L=H58,'Нормативные показатели (рабочая'!N:N=""на ОРП"",'Нормативные пок"&amp;"азатели (рабочая'!M:M=""min""),O58&lt;=FILTER('Нормативные показатели (рабочая'!O:O,'Нормативные показатели (рабочая'!K:K=C58,'Нормативные показатели (рабочая'!L:L=H58,'Нормативные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(рабочая'!K:K=C58,'Нормативные показатели (рабочая'!L:L=H58,'Нормативные показатели (рабочая'!N:N=""на ОРП"",'Нормативные показатели (рабочая'!M:M=""max"")&lt;O58,(O58-FILTER"&amp;"('Нормативные показатели (рабочая'!O:O,'Нормативные показатели (рабочая'!K:K=C58,'Нормативные показатели (рабочая'!L:L=H58,'Нормативные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(рабочая'!K:K=C58,'Нормативные показатели (рабочая'!L:L=H58,'Нормативные показатели (рабочая'!N:N=""на ОРП"",'Нормативные показатели (рабочая'!M:M=""max"")))"),"")</f>
        <v/>
      </c>
      <c r="R58" s="53"/>
      <c r="S58" s="52"/>
      <c r="T58" s="48" t="str">
        <f>IFERROR(__xludf.DUMMYFUNCTION("IFS(F58&gt;26,""нет нормы"",C58="""","""",C58&lt;&gt;""МКД"",""нет нормы"",H58&lt;&gt;""Типовой"",""нет нормы"", AND(F58&lt;26,C58=""МКД""),ifs(FILTER('Нормативные показатели (рабочая'!O:O,'Нормативные показатели (рабочая'!K:K=C58,'Нормативные показатели (рабочая'!L:L=H58,"&amp;"'Нормативные показатели (рабочая'!N:N=""на S плиты"",'Нормативные показатели (рабочая'!M:M=""min"")&gt;R58,(-1) *(FILTER('Нормативные показатели (рабочая'!O:O,'Нормативные показатели (рабочая'!K:K=C58,'Нормативные показатели (рабочая'!L:L=H58,'Нормативные по"&amp;"казатели (рабочая'!N:N=""на S плиты"",'Нормативные показатели (рабочая'!M:M=""min"")-R58)/FILTER('Нормативные показатели (рабочая'!O:O,'Нормативные показатели (рабочая'!K:K=C58,'Нормативные показатели (рабочая'!L:L=H58,'Нормативные показатели (рабочая'!N:"&amp;"N=""на S плиты"",'Нормативные показатели (рабочая'!M:M=""min""),AND(R58&gt;=FILTER('Нормативные показатели (рабочая'!O:O,'Нормативные показатели (рабочая'!K:K=C58,'Нормативные показатели (рабочая'!L:L=H58,'Нормативные показатели (рабочая'!N:N=""на S плиты"","&amp;"'Нормативные показатели (рабочая'!M:M=""min""),R58&lt;=FILTER('Нормативные показатели (рабочая'!O:O,'Нормативные показатели (рабочая'!K:K=C58,'Нормативные показатели (рабочая'!L:L=H58,'Нормативные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(рабочая'!K:K=C58,'Нормативные показатели (рабочая'!L:L=H58,'Нормативные показатели (рабочая'!N:N=""на S плиты"",'Нормативные показатели (рабочая'!M:M="&amp;"""max"")&lt;R58,(R58-FILTER('Нормативные показатели (рабочая'!O:O,'Нормативные показатели (рабочая'!K:K=C58,'Нормативные показатели (рабочая'!L:L=H58,'Нормативные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(рабочая'!K:K=C58,'Нормативные показатели (рабочая'!L:L=H58,'Нормативные показатели (рабочая'!N:N=""на S плиты"",'Нормативные показатели (рабочая'!M:M=""max"")))"),"")</f>
        <v/>
      </c>
      <c r="U58" s="20"/>
      <c r="V58" s="25"/>
      <c r="W58" s="25"/>
    </row>
    <row r="59" ht="15.75" customHeight="1">
      <c r="A59" s="29"/>
      <c r="B59" s="16"/>
      <c r="C59" s="29"/>
      <c r="D59" s="29"/>
      <c r="E59" s="29"/>
      <c r="F59" s="29"/>
      <c r="G59" s="29"/>
      <c r="H59" s="41"/>
      <c r="I59" s="41"/>
      <c r="J59" s="51"/>
      <c r="K59" s="29"/>
      <c r="L59" s="29"/>
      <c r="M59" s="29"/>
      <c r="N59" s="29"/>
      <c r="O59" s="45" t="str">
        <f t="shared" si="3"/>
        <v/>
      </c>
      <c r="P59" s="52"/>
      <c r="Q59" s="47" t="str">
        <f>IFERROR(__xludf.DUMMYFUNCTION("IFS(F59&gt;26,""нет нормы"",C59="""","""",C59&lt;&gt;""МКД"",""нет нормы"",H59&lt;&gt;""Типовой"",""нет нормы"", AND(F59&lt;26,C59=""МКД""),ifs(FILTER('Нормативные показатели (рабочая'!O:O,'Нормативные показатели (рабочая'!K:K=C59,'Нормативные показатели (рабочая'!L:L=H59,"&amp;"'Нормативные показатели (рабочая'!N:N=""на ОРП"",'Нормативные показатели (рабочая'!M:M=""min"")&gt;O59,(-1) *(FILTER('Нормативные показатели (рабочая'!O:O,'Нормативные показатели (рабочая'!K:K=C59,'Нормативные показатели (рабочая'!L:L=H59,'Нормативные показа"&amp;"тели (рабочая'!N:N=""на ОРП"",'Нормативные показатели (рабочая'!M:M=""min"")-O59)/FILTER('Нормативные показатели (рабочая'!O:O,'Нормативные показатели (рабочая'!K:K=C59,'Нормативные показатели (рабочая'!L:L=H59,'Нормативные показатели (рабочая'!N:N=""на О"&amp;"РП"",'Нормативные показатели (рабочая'!M:M=""min""),AND(O59&gt;=FILTER('Нормативные показатели (рабочая'!O:O,'Нормативные показатели (рабочая'!K:K=C59,'Нормативные показатели (рабочая'!L:L=H59,'Нормативные показатели (рабочая'!N:N=""на ОРП"",'Нормативные пок"&amp;"азатели (рабочая'!M:M=""min""),O59&lt;=FILTER('Нормативные показатели (рабочая'!O:O,'Нормативные показатели (рабочая'!K:K=C59,'Нормативные показатели (рабочая'!L:L=H59,'Нормативные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(рабочая'!K:K=C59,'Нормативные показатели (рабочая'!L:L=H59,'Нормативные показатели (рабочая'!N:N=""на ОРП"",'Нормативные показатели (рабочая'!M:M=""max"")&lt;O59,(O59-FILTER"&amp;"('Нормативные показатели (рабочая'!O:O,'Нормативные показатели (рабочая'!K:K=C59,'Нормативные показатели (рабочая'!L:L=H59,'Нормативные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(рабочая'!K:K=C59,'Нормативные показатели (рабочая'!L:L=H59,'Нормативные показатели (рабочая'!N:N=""на ОРП"",'Нормативные показатели (рабочая'!M:M=""max"")))"),"")</f>
        <v/>
      </c>
      <c r="R59" s="53"/>
      <c r="S59" s="52"/>
      <c r="T59" s="48" t="str">
        <f>IFERROR(__xludf.DUMMYFUNCTION("IFS(F59&gt;26,""нет нормы"",C59="""","""",C59&lt;&gt;""МКД"",""нет нормы"",H59&lt;&gt;""Типовой"",""нет нормы"", AND(F59&lt;26,C59=""МКД""),ifs(FILTER('Нормативные показатели (рабочая'!O:O,'Нормативные показатели (рабочая'!K:K=C59,'Нормативные показатели (рабочая'!L:L=H59,"&amp;"'Нормативные показатели (рабочая'!N:N=""на S плиты"",'Нормативные показатели (рабочая'!M:M=""min"")&gt;R59,(-1) *(FILTER('Нормативные показатели (рабочая'!O:O,'Нормативные показатели (рабочая'!K:K=C59,'Нормативные показатели (рабочая'!L:L=H59,'Нормативные по"&amp;"казатели (рабочая'!N:N=""на S плиты"",'Нормативные показатели (рабочая'!M:M=""min"")-R59)/FILTER('Нормативные показатели (рабочая'!O:O,'Нормативные показатели (рабочая'!K:K=C59,'Нормативные показатели (рабочая'!L:L=H59,'Нормативные показатели (рабочая'!N:"&amp;"N=""на S плиты"",'Нормативные показатели (рабочая'!M:M=""min""),AND(R59&gt;=FILTER('Нормативные показатели (рабочая'!O:O,'Нормативные показатели (рабочая'!K:K=C59,'Нормативные показатели (рабочая'!L:L=H59,'Нормативные показатели (рабочая'!N:N=""на S плиты"","&amp;"'Нормативные показатели (рабочая'!M:M=""min""),R59&lt;=FILTER('Нормативные показатели (рабочая'!O:O,'Нормативные показатели (рабочая'!K:K=C59,'Нормативные показатели (рабочая'!L:L=H59,'Нормативные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(рабочая'!K:K=C59,'Нормативные показатели (рабочая'!L:L=H59,'Нормативные показатели (рабочая'!N:N=""на S плиты"",'Нормативные показатели (рабочая'!M:M="&amp;"""max"")&lt;R59,(R59-FILTER('Нормативные показатели (рабочая'!O:O,'Нормативные показатели (рабочая'!K:K=C59,'Нормативные показатели (рабочая'!L:L=H59,'Нормативные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(рабочая'!K:K=C59,'Нормативные показатели (рабочая'!L:L=H59,'Нормативные показатели (рабочая'!N:N=""на S плиты"",'Нормативные показатели (рабочая'!M:M=""max"")))"),"")</f>
        <v/>
      </c>
      <c r="U59" s="20"/>
      <c r="V59" s="25"/>
      <c r="W59" s="25"/>
    </row>
    <row r="60" ht="15.75" customHeight="1">
      <c r="A60" s="29"/>
      <c r="B60" s="16"/>
      <c r="C60" s="29"/>
      <c r="D60" s="29"/>
      <c r="E60" s="29"/>
      <c r="F60" s="29"/>
      <c r="G60" s="29"/>
      <c r="H60" s="41"/>
      <c r="I60" s="41"/>
      <c r="J60" s="51"/>
      <c r="K60" s="29"/>
      <c r="L60" s="29"/>
      <c r="M60" s="29"/>
      <c r="N60" s="29"/>
      <c r="O60" s="45" t="str">
        <f t="shared" si="3"/>
        <v/>
      </c>
      <c r="P60" s="52"/>
      <c r="Q60" s="47" t="str">
        <f>IFERROR(__xludf.DUMMYFUNCTION("IFS(F60&gt;26,""нет нормы"",C60="""","""",C60&lt;&gt;""МКД"",""нет нормы"",H60&lt;&gt;""Типовой"",""нет нормы"", AND(F60&lt;26,C60=""МКД""),ifs(FILTER('Нормативные показатели (рабочая'!O:O,'Нормативные показатели (рабочая'!K:K=C60,'Нормативные показатели (рабочая'!L:L=H60,"&amp;"'Нормативные показатели (рабочая'!N:N=""на ОРП"",'Нормативные показатели (рабочая'!M:M=""min"")&gt;O60,(-1) *(FILTER('Нормативные показатели (рабочая'!O:O,'Нормативные показатели (рабочая'!K:K=C60,'Нормативные показатели (рабочая'!L:L=H60,'Нормативные показа"&amp;"тели (рабочая'!N:N=""на ОРП"",'Нормативные показатели (рабочая'!M:M=""min"")-O60)/FILTER('Нормативные показатели (рабочая'!O:O,'Нормативные показатели (рабочая'!K:K=C60,'Нормативные показатели (рабочая'!L:L=H60,'Нормативные показатели (рабочая'!N:N=""на О"&amp;"РП"",'Нормативные показатели (рабочая'!M:M=""min""),AND(O60&gt;=FILTER('Нормативные показатели (рабочая'!O:O,'Нормативные показатели (рабочая'!K:K=C60,'Нормативные показатели (рабочая'!L:L=H60,'Нормативные показатели (рабочая'!N:N=""на ОРП"",'Нормативные пок"&amp;"азатели (рабочая'!M:M=""min""),O60&lt;=FILTER('Нормативные показатели (рабочая'!O:O,'Нормативные показатели (рабочая'!K:K=C60,'Нормативные показатели (рабочая'!L:L=H60,'Нормативные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(рабочая'!K:K=C60,'Нормативные показатели (рабочая'!L:L=H60,'Нормативные показатели (рабочая'!N:N=""на ОРП"",'Нормативные показатели (рабочая'!M:M=""max"")&lt;O60,(O60-FILTER"&amp;"('Нормативные показатели (рабочая'!O:O,'Нормативные показатели (рабочая'!K:K=C60,'Нормативные показатели (рабочая'!L:L=H60,'Нормативные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(рабочая'!K:K=C60,'Нормативные показатели (рабочая'!L:L=H60,'Нормативные показатели (рабочая'!N:N=""на ОРП"",'Нормативные показатели (рабочая'!M:M=""max"")))"),"")</f>
        <v/>
      </c>
      <c r="R60" s="53"/>
      <c r="S60" s="52"/>
      <c r="T60" s="48" t="str">
        <f>IFERROR(__xludf.DUMMYFUNCTION("IFS(F60&gt;26,""нет нормы"",C60="""","""",C60&lt;&gt;""МКД"",""нет нормы"",H60&lt;&gt;""Типовой"",""нет нормы"", AND(F60&lt;26,C60=""МКД""),ifs(FILTER('Нормативные показатели (рабочая'!O:O,'Нормативные показатели (рабочая'!K:K=C60,'Нормативные показатели (рабочая'!L:L=H60,"&amp;"'Нормативные показатели (рабочая'!N:N=""на S плиты"",'Нормативные показатели (рабочая'!M:M=""min"")&gt;R60,(-1) *(FILTER('Нормативные показатели (рабочая'!O:O,'Нормативные показатели (рабочая'!K:K=C60,'Нормативные показатели (рабочая'!L:L=H60,'Нормативные по"&amp;"казатели (рабочая'!N:N=""на S плиты"",'Нормативные показатели (рабочая'!M:M=""min"")-R60)/FILTER('Нормативные показатели (рабочая'!O:O,'Нормативные показатели (рабочая'!K:K=C60,'Нормативные показатели (рабочая'!L:L=H60,'Нормативные показатели (рабочая'!N:"&amp;"N=""на S плиты"",'Нормативные показатели (рабочая'!M:M=""min""),AND(R60&gt;=FILTER('Нормативные показатели (рабочая'!O:O,'Нормативные показатели (рабочая'!K:K=C60,'Нормативные показатели (рабочая'!L:L=H60,'Нормативные показатели (рабочая'!N:N=""на S плиты"","&amp;"'Нормативные показатели (рабочая'!M:M=""min""),R60&lt;=FILTER('Нормативные показатели (рабочая'!O:O,'Нормативные показатели (рабочая'!K:K=C60,'Нормативные показатели (рабочая'!L:L=H60,'Нормативные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(рабочая'!K:K=C60,'Нормативные показатели (рабочая'!L:L=H60,'Нормативные показатели (рабочая'!N:N=""на S плиты"",'Нормативные показатели (рабочая'!M:M="&amp;"""max"")&lt;R60,(R60-FILTER('Нормативные показатели (рабочая'!O:O,'Нормативные показатели (рабочая'!K:K=C60,'Нормативные показатели (рабочая'!L:L=H60,'Нормативные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(рабочая'!K:K=C60,'Нормативные показатели (рабочая'!L:L=H60,'Нормативные показатели (рабочая'!N:N=""на S плиты"",'Нормативные показатели (рабочая'!M:M=""max"")))"),"")</f>
        <v/>
      </c>
      <c r="U60" s="20"/>
      <c r="V60" s="25"/>
      <c r="W60" s="25"/>
    </row>
    <row r="61" ht="15.75" customHeight="1">
      <c r="A61" s="29"/>
      <c r="B61" s="16"/>
      <c r="C61" s="29"/>
      <c r="D61" s="29"/>
      <c r="E61" s="29"/>
      <c r="F61" s="29"/>
      <c r="G61" s="29"/>
      <c r="H61" s="41"/>
      <c r="I61" s="41"/>
      <c r="J61" s="51"/>
      <c r="K61" s="29"/>
      <c r="L61" s="29"/>
      <c r="M61" s="29"/>
      <c r="N61" s="29"/>
      <c r="O61" s="45" t="str">
        <f t="shared" si="3"/>
        <v/>
      </c>
      <c r="P61" s="52"/>
      <c r="Q61" s="47" t="str">
        <f>IFERROR(__xludf.DUMMYFUNCTION("IFS(F61&gt;26,""нет нормы"",C61="""","""",C61&lt;&gt;""МКД"",""нет нормы"",H61&lt;&gt;""Типовой"",""нет нормы"", AND(F61&lt;26,C61=""МКД""),ifs(FILTER('Нормативные показатели (рабочая'!O:O,'Нормативные показатели (рабочая'!K:K=C61,'Нормативные показатели (рабочая'!L:L=H61,"&amp;"'Нормативные показатели (рабочая'!N:N=""на ОРП"",'Нормативные показатели (рабочая'!M:M=""min"")&gt;O61,(-1) *(FILTER('Нормативные показатели (рабочая'!O:O,'Нормативные показатели (рабочая'!K:K=C61,'Нормативные показатели (рабочая'!L:L=H61,'Нормативные показа"&amp;"тели (рабочая'!N:N=""на ОРП"",'Нормативные показатели (рабочая'!M:M=""min"")-O61)/FILTER('Нормативные показатели (рабочая'!O:O,'Нормативные показатели (рабочая'!K:K=C61,'Нормативные показатели (рабочая'!L:L=H61,'Нормативные показатели (рабочая'!N:N=""на О"&amp;"РП"",'Нормативные показатели (рабочая'!M:M=""min""),AND(O61&gt;=FILTER('Нормативные показатели (рабочая'!O:O,'Нормативные показатели (рабочая'!K:K=C61,'Нормативные показатели (рабочая'!L:L=H61,'Нормативные показатели (рабочая'!N:N=""на ОРП"",'Нормативные пок"&amp;"азатели (рабочая'!M:M=""min""),O61&lt;=FILTER('Нормативные показатели (рабочая'!O:O,'Нормативные показатели (рабочая'!K:K=C61,'Нормативные показатели (рабочая'!L:L=H61,'Нормативные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(рабочая'!K:K=C61,'Нормативные показатели (рабочая'!L:L=H61,'Нормативные показатели (рабочая'!N:N=""на ОРП"",'Нормативные показатели (рабочая'!M:M=""max"")&lt;O61,(O61-FILTER"&amp;"('Нормативные показатели (рабочая'!O:O,'Нормативные показатели (рабочая'!K:K=C61,'Нормативные показатели (рабочая'!L:L=H61,'Нормативные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(рабочая'!K:K=C61,'Нормативные показатели (рабочая'!L:L=H61,'Нормативные показатели (рабочая'!N:N=""на ОРП"",'Нормативные показатели (рабочая'!M:M=""max"")))"),"")</f>
        <v/>
      </c>
      <c r="R61" s="53"/>
      <c r="S61" s="52"/>
      <c r="T61" s="48" t="str">
        <f>IFERROR(__xludf.DUMMYFUNCTION("IFS(F61&gt;26,""нет нормы"",C61="""","""",C61&lt;&gt;""МКД"",""нет нормы"",H61&lt;&gt;""Типовой"",""нет нормы"", AND(F61&lt;26,C61=""МКД""),ifs(FILTER('Нормативные показатели (рабочая'!O:O,'Нормативные показатели (рабочая'!K:K=C61,'Нормативные показатели (рабочая'!L:L=H61,"&amp;"'Нормативные показатели (рабочая'!N:N=""на S плиты"",'Нормативные показатели (рабочая'!M:M=""min"")&gt;R61,(-1) *(FILTER('Нормативные показатели (рабочая'!O:O,'Нормативные показатели (рабочая'!K:K=C61,'Нормативные показатели (рабочая'!L:L=H61,'Нормативные по"&amp;"казатели (рабочая'!N:N=""на S плиты"",'Нормативные показатели (рабочая'!M:M=""min"")-R61)/FILTER('Нормативные показатели (рабочая'!O:O,'Нормативные показатели (рабочая'!K:K=C61,'Нормативные показатели (рабочая'!L:L=H61,'Нормативные показатели (рабочая'!N:"&amp;"N=""на S плиты"",'Нормативные показатели (рабочая'!M:M=""min""),AND(R61&gt;=FILTER('Нормативные показатели (рабочая'!O:O,'Нормативные показатели (рабочая'!K:K=C61,'Нормативные показатели (рабочая'!L:L=H61,'Нормативные показатели (рабочая'!N:N=""на S плиты"","&amp;"'Нормативные показатели (рабочая'!M:M=""min""),R61&lt;=FILTER('Нормативные показатели (рабочая'!O:O,'Нормативные показатели (рабочая'!K:K=C61,'Нормативные показатели (рабочая'!L:L=H61,'Нормативные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(рабочая'!K:K=C61,'Нормативные показатели (рабочая'!L:L=H61,'Нормативные показатели (рабочая'!N:N=""на S плиты"",'Нормативные показатели (рабочая'!M:M="&amp;"""max"")&lt;R61,(R61-FILTER('Нормативные показатели (рабочая'!O:O,'Нормативные показатели (рабочая'!K:K=C61,'Нормативные показатели (рабочая'!L:L=H61,'Нормативные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(рабочая'!K:K=C61,'Нормативные показатели (рабочая'!L:L=H61,'Нормативные показатели (рабочая'!N:N=""на S плиты"",'Нормативные показатели (рабочая'!M:M=""max"")))"),"")</f>
        <v/>
      </c>
      <c r="U61" s="20"/>
      <c r="V61" s="25"/>
      <c r="W61" s="25"/>
    </row>
    <row r="62" ht="15.75" customHeight="1">
      <c r="A62" s="29"/>
      <c r="B62" s="16"/>
      <c r="C62" s="29"/>
      <c r="D62" s="29"/>
      <c r="E62" s="29"/>
      <c r="F62" s="29"/>
      <c r="G62" s="29"/>
      <c r="H62" s="41"/>
      <c r="I62" s="41"/>
      <c r="J62" s="51"/>
      <c r="K62" s="29"/>
      <c r="L62" s="29"/>
      <c r="M62" s="29"/>
      <c r="N62" s="29"/>
      <c r="O62" s="45" t="str">
        <f t="shared" si="3"/>
        <v/>
      </c>
      <c r="P62" s="52"/>
      <c r="Q62" s="47" t="str">
        <f>IFERROR(__xludf.DUMMYFUNCTION("IFS(F62&gt;26,""нет нормы"",C62="""","""",C62&lt;&gt;""МКД"",""нет нормы"",H62&lt;&gt;""Типовой"",""нет нормы"", AND(F62&lt;26,C62=""МКД""),ifs(FILTER('Нормативные показатели (рабочая'!O:O,'Нормативные показатели (рабочая'!K:K=C62,'Нормативные показатели (рабочая'!L:L=H62,"&amp;"'Нормативные показатели (рабочая'!N:N=""на ОРП"",'Нормативные показатели (рабочая'!M:M=""min"")&gt;O62,(-1) *(FILTER('Нормативные показатели (рабочая'!O:O,'Нормативные показатели (рабочая'!K:K=C62,'Нормативные показатели (рабочая'!L:L=H62,'Нормативные показа"&amp;"тели (рабочая'!N:N=""на ОРП"",'Нормативные показатели (рабочая'!M:M=""min"")-O62)/FILTER('Нормативные показатели (рабочая'!O:O,'Нормативные показатели (рабочая'!K:K=C62,'Нормативные показатели (рабочая'!L:L=H62,'Нормативные показатели (рабочая'!N:N=""на О"&amp;"РП"",'Нормативные показатели (рабочая'!M:M=""min""),AND(O62&gt;=FILTER('Нормативные показатели (рабочая'!O:O,'Нормативные показатели (рабочая'!K:K=C62,'Нормативные показатели (рабочая'!L:L=H62,'Нормативные показатели (рабочая'!N:N=""на ОРП"",'Нормативные пок"&amp;"азатели (рабочая'!M:M=""min""),O62&lt;=FILTER('Нормативные показатели (рабочая'!O:O,'Нормативные показатели (рабочая'!K:K=C62,'Нормативные показатели (рабочая'!L:L=H62,'Нормативные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(рабочая'!K:K=C62,'Нормативные показатели (рабочая'!L:L=H62,'Нормативные показатели (рабочая'!N:N=""на ОРП"",'Нормативные показатели (рабочая'!M:M=""max"")&lt;O62,(O62-FILTER"&amp;"('Нормативные показатели (рабочая'!O:O,'Нормативные показатели (рабочая'!K:K=C62,'Нормативные показатели (рабочая'!L:L=H62,'Нормативные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(рабочая'!K:K=C62,'Нормативные показатели (рабочая'!L:L=H62,'Нормативные показатели (рабочая'!N:N=""на ОРП"",'Нормативные показатели (рабочая'!M:M=""max"")))"),"")</f>
        <v/>
      </c>
      <c r="R62" s="53"/>
      <c r="S62" s="52"/>
      <c r="T62" s="48" t="str">
        <f>IFERROR(__xludf.DUMMYFUNCTION("IFS(F62&gt;26,""нет нормы"",C62="""","""",C62&lt;&gt;""МКД"",""нет нормы"",H62&lt;&gt;""Типовой"",""нет нормы"", AND(F62&lt;26,C62=""МКД""),ifs(FILTER('Нормативные показатели (рабочая'!O:O,'Нормативные показатели (рабочая'!K:K=C62,'Нормативные показатели (рабочая'!L:L=H62,"&amp;"'Нормативные показатели (рабочая'!N:N=""на S плиты"",'Нормативные показатели (рабочая'!M:M=""min"")&gt;R62,(-1) *(FILTER('Нормативные показатели (рабочая'!O:O,'Нормативные показатели (рабочая'!K:K=C62,'Нормативные показатели (рабочая'!L:L=H62,'Нормативные по"&amp;"казатели (рабочая'!N:N=""на S плиты"",'Нормативные показатели (рабочая'!M:M=""min"")-R62)/FILTER('Нормативные показатели (рабочая'!O:O,'Нормативные показатели (рабочая'!K:K=C62,'Нормативные показатели (рабочая'!L:L=H62,'Нормативные показатели (рабочая'!N:"&amp;"N=""на S плиты"",'Нормативные показатели (рабочая'!M:M=""min""),AND(R62&gt;=FILTER('Нормативные показатели (рабочая'!O:O,'Нормативные показатели (рабочая'!K:K=C62,'Нормативные показатели (рабочая'!L:L=H62,'Нормативные показатели (рабочая'!N:N=""на S плиты"","&amp;"'Нормативные показатели (рабочая'!M:M=""min""),R62&lt;=FILTER('Нормативные показатели (рабочая'!O:O,'Нормативные показатели (рабочая'!K:K=C62,'Нормативные показатели (рабочая'!L:L=H62,'Нормативные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(рабочая'!K:K=C62,'Нормативные показатели (рабочая'!L:L=H62,'Нормативные показатели (рабочая'!N:N=""на S плиты"",'Нормативные показатели (рабочая'!M:M="&amp;"""max"")&lt;R62,(R62-FILTER('Нормативные показатели (рабочая'!O:O,'Нормативные показатели (рабочая'!K:K=C62,'Нормативные показатели (рабочая'!L:L=H62,'Нормативные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(рабочая'!K:K=C62,'Нормативные показатели (рабочая'!L:L=H62,'Нормативные показатели (рабочая'!N:N=""на S плиты"",'Нормативные показатели (рабочая'!M:M=""max"")))"),"")</f>
        <v/>
      </c>
      <c r="U62" s="20"/>
      <c r="V62" s="25"/>
      <c r="W62" s="25"/>
    </row>
    <row r="63" ht="15.75" customHeight="1">
      <c r="A63" s="29"/>
      <c r="B63" s="16"/>
      <c r="C63" s="29"/>
      <c r="D63" s="29"/>
      <c r="E63" s="29"/>
      <c r="F63" s="29"/>
      <c r="G63" s="29"/>
      <c r="H63" s="41"/>
      <c r="I63" s="41"/>
      <c r="J63" s="51"/>
      <c r="K63" s="29"/>
      <c r="L63" s="29"/>
      <c r="M63" s="29"/>
      <c r="N63" s="29"/>
      <c r="O63" s="45" t="str">
        <f t="shared" si="3"/>
        <v/>
      </c>
      <c r="P63" s="52"/>
      <c r="Q63" s="47" t="str">
        <f>IFERROR(__xludf.DUMMYFUNCTION("IFS(F63&gt;26,""нет нормы"",C63="""","""",C63&lt;&gt;""МКД"",""нет нормы"",H63&lt;&gt;""Типовой"",""нет нормы"", AND(F63&lt;26,C63=""МКД""),ifs(FILTER('Нормативные показатели (рабочая'!O:O,'Нормативные показатели (рабочая'!K:K=C63,'Нормативные показатели (рабочая'!L:L=H63,"&amp;"'Нормативные показатели (рабочая'!N:N=""на ОРП"",'Нормативные показатели (рабочая'!M:M=""min"")&gt;O63,(-1) *(FILTER('Нормативные показатели (рабочая'!O:O,'Нормативные показатели (рабочая'!K:K=C63,'Нормативные показатели (рабочая'!L:L=H63,'Нормативные показа"&amp;"тели (рабочая'!N:N=""на ОРП"",'Нормативные показатели (рабочая'!M:M=""min"")-O63)/FILTER('Нормативные показатели (рабочая'!O:O,'Нормативные показатели (рабочая'!K:K=C63,'Нормативные показатели (рабочая'!L:L=H63,'Нормативные показатели (рабочая'!N:N=""на О"&amp;"РП"",'Нормативные показатели (рабочая'!M:M=""min""),AND(O63&gt;=FILTER('Нормативные показатели (рабочая'!O:O,'Нормативные показатели (рабочая'!K:K=C63,'Нормативные показатели (рабочая'!L:L=H63,'Нормативные показатели (рабочая'!N:N=""на ОРП"",'Нормативные пок"&amp;"азатели (рабочая'!M:M=""min""),O63&lt;=FILTER('Нормативные показатели (рабочая'!O:O,'Нормативные показатели (рабочая'!K:K=C63,'Нормативные показатели (рабочая'!L:L=H63,'Нормативные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(рабочая'!K:K=C63,'Нормативные показатели (рабочая'!L:L=H63,'Нормативные показатели (рабочая'!N:N=""на ОРП"",'Нормативные показатели (рабочая'!M:M=""max"")&lt;O63,(O63-FILTER"&amp;"('Нормативные показатели (рабочая'!O:O,'Нормативные показатели (рабочая'!K:K=C63,'Нормативные показатели (рабочая'!L:L=H63,'Нормативные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(рабочая'!K:K=C63,'Нормативные показатели (рабочая'!L:L=H63,'Нормативные показатели (рабочая'!N:N=""на ОРП"",'Нормативные показатели (рабочая'!M:M=""max"")))"),"")</f>
        <v/>
      </c>
      <c r="R63" s="53"/>
      <c r="S63" s="52"/>
      <c r="T63" s="48" t="str">
        <f>IFERROR(__xludf.DUMMYFUNCTION("IFS(F63&gt;26,""нет нормы"",C63="""","""",C63&lt;&gt;""МКД"",""нет нормы"",H63&lt;&gt;""Типовой"",""нет нормы"", AND(F63&lt;26,C63=""МКД""),ifs(FILTER('Нормативные показатели (рабочая'!O:O,'Нормативные показатели (рабочая'!K:K=C63,'Нормативные показатели (рабочая'!L:L=H63,"&amp;"'Нормативные показатели (рабочая'!N:N=""на S плиты"",'Нормативные показатели (рабочая'!M:M=""min"")&gt;R63,(-1) *(FILTER('Нормативные показатели (рабочая'!O:O,'Нормативные показатели (рабочая'!K:K=C63,'Нормативные показатели (рабочая'!L:L=H63,'Нормативные по"&amp;"казатели (рабочая'!N:N=""на S плиты"",'Нормативные показатели (рабочая'!M:M=""min"")-R63)/FILTER('Нормативные показатели (рабочая'!O:O,'Нормативные показатели (рабочая'!K:K=C63,'Нормативные показатели (рабочая'!L:L=H63,'Нормативные показатели (рабочая'!N:"&amp;"N=""на S плиты"",'Нормативные показатели (рабочая'!M:M=""min""),AND(R63&gt;=FILTER('Нормативные показатели (рабочая'!O:O,'Нормативные показатели (рабочая'!K:K=C63,'Нормативные показатели (рабочая'!L:L=H63,'Нормативные показатели (рабочая'!N:N=""на S плиты"","&amp;"'Нормативные показатели (рабочая'!M:M=""min""),R63&lt;=FILTER('Нормативные показатели (рабочая'!O:O,'Нормативные показатели (рабочая'!K:K=C63,'Нормативные показатели (рабочая'!L:L=H63,'Нормативные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(рабочая'!K:K=C63,'Нормативные показатели (рабочая'!L:L=H63,'Нормативные показатели (рабочая'!N:N=""на S плиты"",'Нормативные показатели (рабочая'!M:M="&amp;"""max"")&lt;R63,(R63-FILTER('Нормативные показатели (рабочая'!O:O,'Нормативные показатели (рабочая'!K:K=C63,'Нормативные показатели (рабочая'!L:L=H63,'Нормативные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(рабочая'!K:K=C63,'Нормативные показатели (рабочая'!L:L=H63,'Нормативные показатели (рабочая'!N:N=""на S плиты"",'Нормативные показатели (рабочая'!M:M=""max"")))"),"")</f>
        <v/>
      </c>
      <c r="U63" s="20"/>
      <c r="V63" s="25"/>
      <c r="W63" s="25"/>
    </row>
    <row r="64" ht="15.75" customHeight="1">
      <c r="A64" s="29"/>
      <c r="B64" s="16"/>
      <c r="C64" s="29"/>
      <c r="D64" s="29"/>
      <c r="E64" s="29"/>
      <c r="F64" s="29"/>
      <c r="G64" s="29"/>
      <c r="H64" s="41"/>
      <c r="I64" s="41"/>
      <c r="J64" s="51"/>
      <c r="K64" s="29"/>
      <c r="L64" s="29"/>
      <c r="M64" s="29"/>
      <c r="N64" s="29"/>
      <c r="O64" s="45" t="str">
        <f t="shared" si="3"/>
        <v/>
      </c>
      <c r="P64" s="52"/>
      <c r="Q64" s="47" t="str">
        <f>IFERROR(__xludf.DUMMYFUNCTION("IFS(F64&gt;26,""нет нормы"",C64="""","""",C64&lt;&gt;""МКД"",""нет нормы"",H64&lt;&gt;""Типовой"",""нет нормы"", AND(F64&lt;26,C64=""МКД""),ifs(FILTER('Нормативные показатели (рабочая'!O:O,'Нормативные показатели (рабочая'!K:K=C64,'Нормативные показатели (рабочая'!L:L=H64,"&amp;"'Нормативные показатели (рабочая'!N:N=""на ОРП"",'Нормативные показатели (рабочая'!M:M=""min"")&gt;O64,(-1) *(FILTER('Нормативные показатели (рабочая'!O:O,'Нормативные показатели (рабочая'!K:K=C64,'Нормативные показатели (рабочая'!L:L=H64,'Нормативные показа"&amp;"тели (рабочая'!N:N=""на ОРП"",'Нормативные показатели (рабочая'!M:M=""min"")-O64)/FILTER('Нормативные показатели (рабочая'!O:O,'Нормативные показатели (рабочая'!K:K=C64,'Нормативные показатели (рабочая'!L:L=H64,'Нормативные показатели (рабочая'!N:N=""на О"&amp;"РП"",'Нормативные показатели (рабочая'!M:M=""min""),AND(O64&gt;=FILTER('Нормативные показатели (рабочая'!O:O,'Нормативные показатели (рабочая'!K:K=C64,'Нормативные показатели (рабочая'!L:L=H64,'Нормативные показатели (рабочая'!N:N=""на ОРП"",'Нормативные пок"&amp;"азатели (рабочая'!M:M=""min""),O64&lt;=FILTER('Нормативные показатели (рабочая'!O:O,'Нормативные показатели (рабочая'!K:K=C64,'Нормативные показатели (рабочая'!L:L=H64,'Нормативные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(рабочая'!K:K=C64,'Нормативные показатели (рабочая'!L:L=H64,'Нормативные показатели (рабочая'!N:N=""на ОРП"",'Нормативные показатели (рабочая'!M:M=""max"")&lt;O64,(O64-FILTER"&amp;"('Нормативные показатели (рабочая'!O:O,'Нормативные показатели (рабочая'!K:K=C64,'Нормативные показатели (рабочая'!L:L=H64,'Нормативные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(рабочая'!K:K=C64,'Нормативные показатели (рабочая'!L:L=H64,'Нормативные показатели (рабочая'!N:N=""на ОРП"",'Нормативные показатели (рабочая'!M:M=""max"")))"),"")</f>
        <v/>
      </c>
      <c r="R64" s="53"/>
      <c r="S64" s="52"/>
      <c r="T64" s="48" t="str">
        <f>IFERROR(__xludf.DUMMYFUNCTION("IFS(F64&gt;26,""нет нормы"",C64="""","""",C64&lt;&gt;""МКД"",""нет нормы"",H64&lt;&gt;""Типовой"",""нет нормы"", AND(F64&lt;26,C64=""МКД""),ifs(FILTER('Нормативные показатели (рабочая'!O:O,'Нормативные показатели (рабочая'!K:K=C64,'Нормативные показатели (рабочая'!L:L=H64,"&amp;"'Нормативные показатели (рабочая'!N:N=""на S плиты"",'Нормативные показатели (рабочая'!M:M=""min"")&gt;R64,(-1) *(FILTER('Нормативные показатели (рабочая'!O:O,'Нормативные показатели (рабочая'!K:K=C64,'Нормативные показатели (рабочая'!L:L=H64,'Нормативные по"&amp;"казатели (рабочая'!N:N=""на S плиты"",'Нормативные показатели (рабочая'!M:M=""min"")-R64)/FILTER('Нормативные показатели (рабочая'!O:O,'Нормативные показатели (рабочая'!K:K=C64,'Нормативные показатели (рабочая'!L:L=H64,'Нормативные показатели (рабочая'!N:"&amp;"N=""на S плиты"",'Нормативные показатели (рабочая'!M:M=""min""),AND(R64&gt;=FILTER('Нормативные показатели (рабочая'!O:O,'Нормативные показатели (рабочая'!K:K=C64,'Нормативные показатели (рабочая'!L:L=H64,'Нормативные показатели (рабочая'!N:N=""на S плиты"","&amp;"'Нормативные показатели (рабочая'!M:M=""min""),R64&lt;=FILTER('Нормативные показатели (рабочая'!O:O,'Нормативные показатели (рабочая'!K:K=C64,'Нормативные показатели (рабочая'!L:L=H64,'Нормативные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(рабочая'!K:K=C64,'Нормативные показатели (рабочая'!L:L=H64,'Нормативные показатели (рабочая'!N:N=""на S плиты"",'Нормативные показатели (рабочая'!M:M="&amp;"""max"")&lt;R64,(R64-FILTER('Нормативные показатели (рабочая'!O:O,'Нормативные показатели (рабочая'!K:K=C64,'Нормативные показатели (рабочая'!L:L=H64,'Нормативные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(рабочая'!K:K=C64,'Нормативные показатели (рабочая'!L:L=H64,'Нормативные показатели (рабочая'!N:N=""на S плиты"",'Нормативные показатели (рабочая'!M:M=""max"")))"),"")</f>
        <v/>
      </c>
      <c r="U64" s="20"/>
      <c r="V64" s="25"/>
      <c r="W64" s="25"/>
    </row>
    <row r="65" ht="15.75" customHeight="1">
      <c r="A65" s="29"/>
      <c r="B65" s="16"/>
      <c r="C65" s="29"/>
      <c r="D65" s="29"/>
      <c r="E65" s="29"/>
      <c r="F65" s="29"/>
      <c r="G65" s="29"/>
      <c r="H65" s="41"/>
      <c r="I65" s="41"/>
      <c r="J65" s="51"/>
      <c r="K65" s="29"/>
      <c r="L65" s="29"/>
      <c r="M65" s="29"/>
      <c r="N65" s="29"/>
      <c r="O65" s="45" t="str">
        <f t="shared" si="3"/>
        <v/>
      </c>
      <c r="P65" s="52"/>
      <c r="Q65" s="47" t="str">
        <f>IFERROR(__xludf.DUMMYFUNCTION("IFS(F65&gt;26,""нет нормы"",C65="""","""",C65&lt;&gt;""МКД"",""нет нормы"",H65&lt;&gt;""Типовой"",""нет нормы"", AND(F65&lt;26,C65=""МКД""),ifs(FILTER('Нормативные показатели (рабочая'!O:O,'Нормативные показатели (рабочая'!K:K=C65,'Нормативные показатели (рабочая'!L:L=H65,"&amp;"'Нормативные показатели (рабочая'!N:N=""на ОРП"",'Нормативные показатели (рабочая'!M:M=""min"")&gt;O65,(-1) *(FILTER('Нормативные показатели (рабочая'!O:O,'Нормативные показатели (рабочая'!K:K=C65,'Нормативные показатели (рабочая'!L:L=H65,'Нормативные показа"&amp;"тели (рабочая'!N:N=""на ОРП"",'Нормативные показатели (рабочая'!M:M=""min"")-O65)/FILTER('Нормативные показатели (рабочая'!O:O,'Нормативные показатели (рабочая'!K:K=C65,'Нормативные показатели (рабочая'!L:L=H65,'Нормативные показатели (рабочая'!N:N=""на О"&amp;"РП"",'Нормативные показатели (рабочая'!M:M=""min""),AND(O65&gt;=FILTER('Нормативные показатели (рабочая'!O:O,'Нормативные показатели (рабочая'!K:K=C65,'Нормативные показатели (рабочая'!L:L=H65,'Нормативные показатели (рабочая'!N:N=""на ОРП"",'Нормативные пок"&amp;"азатели (рабочая'!M:M=""min""),O65&lt;=FILTER('Нормативные показатели (рабочая'!O:O,'Нормативные показатели (рабочая'!K:K=C65,'Нормативные показатели (рабочая'!L:L=H65,'Нормативные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(рабочая'!K:K=C65,'Нормативные показатели (рабочая'!L:L=H65,'Нормативные показатели (рабочая'!N:N=""на ОРП"",'Нормативные показатели (рабочая'!M:M=""max"")&lt;O65,(O65-FILTER"&amp;"('Нормативные показатели (рабочая'!O:O,'Нормативные показатели (рабочая'!K:K=C65,'Нормативные показатели (рабочая'!L:L=H65,'Нормативные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(рабочая'!K:K=C65,'Нормативные показатели (рабочая'!L:L=H65,'Нормативные показатели (рабочая'!N:N=""на ОРП"",'Нормативные показатели (рабочая'!M:M=""max"")))"),"")</f>
        <v/>
      </c>
      <c r="R65" s="53"/>
      <c r="S65" s="52"/>
      <c r="T65" s="48" t="str">
        <f>IFERROR(__xludf.DUMMYFUNCTION("IFS(F65&gt;26,""нет нормы"",C65="""","""",C65&lt;&gt;""МКД"",""нет нормы"",H65&lt;&gt;""Типовой"",""нет нормы"", AND(F65&lt;26,C65=""МКД""),ifs(FILTER('Нормативные показатели (рабочая'!O:O,'Нормативные показатели (рабочая'!K:K=C65,'Нормативные показатели (рабочая'!L:L=H65,"&amp;"'Нормативные показатели (рабочая'!N:N=""на S плиты"",'Нормативные показатели (рабочая'!M:M=""min"")&gt;R65,(-1) *(FILTER('Нормативные показатели (рабочая'!O:O,'Нормативные показатели (рабочая'!K:K=C65,'Нормативные показатели (рабочая'!L:L=H65,'Нормативные по"&amp;"казатели (рабочая'!N:N=""на S плиты"",'Нормативные показатели (рабочая'!M:M=""min"")-R65)/FILTER('Нормативные показатели (рабочая'!O:O,'Нормативные показатели (рабочая'!K:K=C65,'Нормативные показатели (рабочая'!L:L=H65,'Нормативные показатели (рабочая'!N:"&amp;"N=""на S плиты"",'Нормативные показатели (рабочая'!M:M=""min""),AND(R65&gt;=FILTER('Нормативные показатели (рабочая'!O:O,'Нормативные показатели (рабочая'!K:K=C65,'Нормативные показатели (рабочая'!L:L=H65,'Нормативные показатели (рабочая'!N:N=""на S плиты"","&amp;"'Нормативные показатели (рабочая'!M:M=""min""),R65&lt;=FILTER('Нормативные показатели (рабочая'!O:O,'Нормативные показатели (рабочая'!K:K=C65,'Нормативные показатели (рабочая'!L:L=H65,'Нормативные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(рабочая'!K:K=C65,'Нормативные показатели (рабочая'!L:L=H65,'Нормативные показатели (рабочая'!N:N=""на S плиты"",'Нормативные показатели (рабочая'!M:M="&amp;"""max"")&lt;R65,(R65-FILTER('Нормативные показатели (рабочая'!O:O,'Нормативные показатели (рабочая'!K:K=C65,'Нормативные показатели (рабочая'!L:L=H65,'Нормативные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(рабочая'!K:K=C65,'Нормативные показатели (рабочая'!L:L=H65,'Нормативные показатели (рабочая'!N:N=""на S плиты"",'Нормативные показатели (рабочая'!M:M=""max"")))"),"")</f>
        <v/>
      </c>
      <c r="U65" s="20"/>
      <c r="V65" s="25"/>
      <c r="W65" s="25"/>
    </row>
    <row r="66" ht="15.75" customHeight="1">
      <c r="A66" s="29"/>
      <c r="B66" s="16"/>
      <c r="C66" s="29"/>
      <c r="D66" s="29"/>
      <c r="E66" s="29"/>
      <c r="F66" s="29"/>
      <c r="G66" s="29"/>
      <c r="H66" s="41"/>
      <c r="I66" s="41"/>
      <c r="J66" s="51"/>
      <c r="K66" s="29"/>
      <c r="L66" s="29"/>
      <c r="M66" s="29"/>
      <c r="N66" s="29"/>
      <c r="O66" s="45" t="str">
        <f t="shared" si="3"/>
        <v/>
      </c>
      <c r="P66" s="52"/>
      <c r="Q66" s="47" t="str">
        <f>IFERROR(__xludf.DUMMYFUNCTION("IFS(F66&gt;26,""нет нормы"",C66="""","""",C66&lt;&gt;""МКД"",""нет нормы"",H66&lt;&gt;""Типовой"",""нет нормы"", AND(F66&lt;26,C66=""МКД""),ifs(FILTER('Нормативные показатели (рабочая'!O:O,'Нормативные показатели (рабочая'!K:K=C66,'Нормативные показатели (рабочая'!L:L=H66,"&amp;"'Нормативные показатели (рабочая'!N:N=""на ОРП"",'Нормативные показатели (рабочая'!M:M=""min"")&gt;O66,(-1) *(FILTER('Нормативные показатели (рабочая'!O:O,'Нормативные показатели (рабочая'!K:K=C66,'Нормативные показатели (рабочая'!L:L=H66,'Нормативные показа"&amp;"тели (рабочая'!N:N=""на ОРП"",'Нормативные показатели (рабочая'!M:M=""min"")-O66)/FILTER('Нормативные показатели (рабочая'!O:O,'Нормативные показатели (рабочая'!K:K=C66,'Нормативные показатели (рабочая'!L:L=H66,'Нормативные показатели (рабочая'!N:N=""на О"&amp;"РП"",'Нормативные показатели (рабочая'!M:M=""min""),AND(O66&gt;=FILTER('Нормативные показатели (рабочая'!O:O,'Нормативные показатели (рабочая'!K:K=C66,'Нормативные показатели (рабочая'!L:L=H66,'Нормативные показатели (рабочая'!N:N=""на ОРП"",'Нормативные пок"&amp;"азатели (рабочая'!M:M=""min""),O66&lt;=FILTER('Нормативные показатели (рабочая'!O:O,'Нормативные показатели (рабочая'!K:K=C66,'Нормативные показатели (рабочая'!L:L=H66,'Нормативные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(рабочая'!K:K=C66,'Нормативные показатели (рабочая'!L:L=H66,'Нормативные показатели (рабочая'!N:N=""на ОРП"",'Нормативные показатели (рабочая'!M:M=""max"")&lt;O66,(O66-FILTER"&amp;"('Нормативные показатели (рабочая'!O:O,'Нормативные показатели (рабочая'!K:K=C66,'Нормативные показатели (рабочая'!L:L=H66,'Нормативные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(рабочая'!K:K=C66,'Нормативные показатели (рабочая'!L:L=H66,'Нормативные показатели (рабочая'!N:N=""на ОРП"",'Нормативные показатели (рабочая'!M:M=""max"")))"),"")</f>
        <v/>
      </c>
      <c r="R66" s="53"/>
      <c r="S66" s="52"/>
      <c r="T66" s="48" t="str">
        <f>IFERROR(__xludf.DUMMYFUNCTION("IFS(F66&gt;26,""нет нормы"",C66="""","""",C66&lt;&gt;""МКД"",""нет нормы"",H66&lt;&gt;""Типовой"",""нет нормы"", AND(F66&lt;26,C66=""МКД""),ifs(FILTER('Нормативные показатели (рабочая'!O:O,'Нормативные показатели (рабочая'!K:K=C66,'Нормативные показатели (рабочая'!L:L=H66,"&amp;"'Нормативные показатели (рабочая'!N:N=""на S плиты"",'Нормативные показатели (рабочая'!M:M=""min"")&gt;R66,(-1) *(FILTER('Нормативные показатели (рабочая'!O:O,'Нормативные показатели (рабочая'!K:K=C66,'Нормативные показатели (рабочая'!L:L=H66,'Нормативные по"&amp;"казатели (рабочая'!N:N=""на S плиты"",'Нормативные показатели (рабочая'!M:M=""min"")-R66)/FILTER('Нормативные показатели (рабочая'!O:O,'Нормативные показатели (рабочая'!K:K=C66,'Нормативные показатели (рабочая'!L:L=H66,'Нормативные показатели (рабочая'!N:"&amp;"N=""на S плиты"",'Нормативные показатели (рабочая'!M:M=""min""),AND(R66&gt;=FILTER('Нормативные показатели (рабочая'!O:O,'Нормативные показатели (рабочая'!K:K=C66,'Нормативные показатели (рабочая'!L:L=H66,'Нормативные показатели (рабочая'!N:N=""на S плиты"","&amp;"'Нормативные показатели (рабочая'!M:M=""min""),R66&lt;=FILTER('Нормативные показатели (рабочая'!O:O,'Нормативные показатели (рабочая'!K:K=C66,'Нормативные показатели (рабочая'!L:L=H66,'Нормативные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(рабочая'!K:K=C66,'Нормативные показатели (рабочая'!L:L=H66,'Нормативные показатели (рабочая'!N:N=""на S плиты"",'Нормативные показатели (рабочая'!M:M="&amp;"""max"")&lt;R66,(R66-FILTER('Нормативные показатели (рабочая'!O:O,'Нормативные показатели (рабочая'!K:K=C66,'Нормативные показатели (рабочая'!L:L=H66,'Нормативные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(рабочая'!K:K=C66,'Нормативные показатели (рабочая'!L:L=H66,'Нормативные показатели (рабочая'!N:N=""на S плиты"",'Нормативные показатели (рабочая'!M:M=""max"")))"),"")</f>
        <v/>
      </c>
      <c r="U66" s="20"/>
      <c r="V66" s="25"/>
      <c r="W66" s="25"/>
    </row>
    <row r="67" ht="15.75" customHeight="1">
      <c r="A67" s="29"/>
      <c r="B67" s="16"/>
      <c r="C67" s="29"/>
      <c r="D67" s="29"/>
      <c r="E67" s="29"/>
      <c r="F67" s="29"/>
      <c r="G67" s="29"/>
      <c r="H67" s="41"/>
      <c r="I67" s="41"/>
      <c r="J67" s="51"/>
      <c r="K67" s="29"/>
      <c r="L67" s="29"/>
      <c r="M67" s="29"/>
      <c r="N67" s="29"/>
      <c r="O67" s="45" t="str">
        <f t="shared" si="3"/>
        <v/>
      </c>
      <c r="P67" s="52"/>
      <c r="Q67" s="47" t="str">
        <f>IFERROR(__xludf.DUMMYFUNCTION("IFS(F67&gt;26,""нет нормы"",C67="""","""",C67&lt;&gt;""МКД"",""нет нормы"",H67&lt;&gt;""Типовой"",""нет нормы"", AND(F67&lt;26,C67=""МКД""),ifs(FILTER('Нормативные показатели (рабочая'!O:O,'Нормативные показатели (рабочая'!K:K=C67,'Нормативные показатели (рабочая'!L:L=H67,"&amp;"'Нормативные показатели (рабочая'!N:N=""на ОРП"",'Нормативные показатели (рабочая'!M:M=""min"")&gt;O67,(-1) *(FILTER('Нормативные показатели (рабочая'!O:O,'Нормативные показатели (рабочая'!K:K=C67,'Нормативные показатели (рабочая'!L:L=H67,'Нормативные показа"&amp;"тели (рабочая'!N:N=""на ОРП"",'Нормативные показатели (рабочая'!M:M=""min"")-O67)/FILTER('Нормативные показатели (рабочая'!O:O,'Нормативные показатели (рабочая'!K:K=C67,'Нормативные показатели (рабочая'!L:L=H67,'Нормативные показатели (рабочая'!N:N=""на О"&amp;"РП"",'Нормативные показатели (рабочая'!M:M=""min""),AND(O67&gt;=FILTER('Нормативные показатели (рабочая'!O:O,'Нормативные показатели (рабочая'!K:K=C67,'Нормативные показатели (рабочая'!L:L=H67,'Нормативные показатели (рабочая'!N:N=""на ОРП"",'Нормативные пок"&amp;"азатели (рабочая'!M:M=""min""),O67&lt;=FILTER('Нормативные показатели (рабочая'!O:O,'Нормативные показатели (рабочая'!K:K=C67,'Нормативные показатели (рабочая'!L:L=H67,'Нормативные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(рабочая'!K:K=C67,'Нормативные показатели (рабочая'!L:L=H67,'Нормативные показатели (рабочая'!N:N=""на ОРП"",'Нормативные показатели (рабочая'!M:M=""max"")&lt;O67,(O67-FILTER"&amp;"('Нормативные показатели (рабочая'!O:O,'Нормативные показатели (рабочая'!K:K=C67,'Нормативные показатели (рабочая'!L:L=H67,'Нормативные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(рабочая'!K:K=C67,'Нормативные показатели (рабочая'!L:L=H67,'Нормативные показатели (рабочая'!N:N=""на ОРП"",'Нормативные показатели (рабочая'!M:M=""max"")))"),"")</f>
        <v/>
      </c>
      <c r="R67" s="53"/>
      <c r="S67" s="52"/>
      <c r="T67" s="48" t="str">
        <f>IFERROR(__xludf.DUMMYFUNCTION("IFS(F67&gt;26,""нет нормы"",C67="""","""",C67&lt;&gt;""МКД"",""нет нормы"",H67&lt;&gt;""Типовой"",""нет нормы"", AND(F67&lt;26,C67=""МКД""),ifs(FILTER('Нормативные показатели (рабочая'!O:O,'Нормативные показатели (рабочая'!K:K=C67,'Нормативные показатели (рабочая'!L:L=H67,"&amp;"'Нормативные показатели (рабочая'!N:N=""на S плиты"",'Нормативные показатели (рабочая'!M:M=""min"")&gt;R67,(-1) *(FILTER('Нормативные показатели (рабочая'!O:O,'Нормативные показатели (рабочая'!K:K=C67,'Нормативные показатели (рабочая'!L:L=H67,'Нормативные по"&amp;"казатели (рабочая'!N:N=""на S плиты"",'Нормативные показатели (рабочая'!M:M=""min"")-R67)/FILTER('Нормативные показатели (рабочая'!O:O,'Нормативные показатели (рабочая'!K:K=C67,'Нормативные показатели (рабочая'!L:L=H67,'Нормативные показатели (рабочая'!N:"&amp;"N=""на S плиты"",'Нормативные показатели (рабочая'!M:M=""min""),AND(R67&gt;=FILTER('Нормативные показатели (рабочая'!O:O,'Нормативные показатели (рабочая'!K:K=C67,'Нормативные показатели (рабочая'!L:L=H67,'Нормативные показатели (рабочая'!N:N=""на S плиты"","&amp;"'Нормативные показатели (рабочая'!M:M=""min""),R67&lt;=FILTER('Нормативные показатели (рабочая'!O:O,'Нормативные показатели (рабочая'!K:K=C67,'Нормативные показатели (рабочая'!L:L=H67,'Нормативные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(рабочая'!K:K=C67,'Нормативные показатели (рабочая'!L:L=H67,'Нормативные показатели (рабочая'!N:N=""на S плиты"",'Нормативные показатели (рабочая'!M:M="&amp;"""max"")&lt;R67,(R67-FILTER('Нормативные показатели (рабочая'!O:O,'Нормативные показатели (рабочая'!K:K=C67,'Нормативные показатели (рабочая'!L:L=H67,'Нормативные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(рабочая'!K:K=C67,'Нормативные показатели (рабочая'!L:L=H67,'Нормативные показатели (рабочая'!N:N=""на S плиты"",'Нормативные показатели (рабочая'!M:M=""max"")))"),"")</f>
        <v/>
      </c>
      <c r="U67" s="20"/>
      <c r="V67" s="25"/>
      <c r="W67" s="25"/>
    </row>
    <row r="68" ht="15.75" customHeight="1">
      <c r="A68" s="29"/>
      <c r="B68" s="16"/>
      <c r="C68" s="29"/>
      <c r="D68" s="29"/>
      <c r="E68" s="29"/>
      <c r="F68" s="29"/>
      <c r="G68" s="29"/>
      <c r="H68" s="41"/>
      <c r="I68" s="41"/>
      <c r="J68" s="51"/>
      <c r="K68" s="29"/>
      <c r="L68" s="29"/>
      <c r="M68" s="29"/>
      <c r="N68" s="29"/>
      <c r="O68" s="45" t="str">
        <f t="shared" si="3"/>
        <v/>
      </c>
      <c r="P68" s="52"/>
      <c r="Q68" s="47" t="str">
        <f>IFERROR(__xludf.DUMMYFUNCTION("IFS(F68&gt;26,""нет нормы"",C68="""","""",C68&lt;&gt;""МКД"",""нет нормы"",H68&lt;&gt;""Типовой"",""нет нормы"", AND(F68&lt;26,C68=""МКД""),ifs(FILTER('Нормативные показатели (рабочая'!O:O,'Нормативные показатели (рабочая'!K:K=C68,'Нормативные показатели (рабочая'!L:L=H68,"&amp;"'Нормативные показатели (рабочая'!N:N=""на ОРП"",'Нормативные показатели (рабочая'!M:M=""min"")&gt;O68,(-1) *(FILTER('Нормативные показатели (рабочая'!O:O,'Нормативные показатели (рабочая'!K:K=C68,'Нормативные показатели (рабочая'!L:L=H68,'Нормативные показа"&amp;"тели (рабочая'!N:N=""на ОРП"",'Нормативные показатели (рабочая'!M:M=""min"")-O68)/FILTER('Нормативные показатели (рабочая'!O:O,'Нормативные показатели (рабочая'!K:K=C68,'Нормативные показатели (рабочая'!L:L=H68,'Нормативные показатели (рабочая'!N:N=""на О"&amp;"РП"",'Нормативные показатели (рабочая'!M:M=""min""),AND(O68&gt;=FILTER('Нормативные показатели (рабочая'!O:O,'Нормативные показатели (рабочая'!K:K=C68,'Нормативные показатели (рабочая'!L:L=H68,'Нормативные показатели (рабочая'!N:N=""на ОРП"",'Нормативные пок"&amp;"азатели (рабочая'!M:M=""min""),O68&lt;=FILTER('Нормативные показатели (рабочая'!O:O,'Нормативные показатели (рабочая'!K:K=C68,'Нормативные показатели (рабочая'!L:L=H68,'Нормативные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(рабочая'!K:K=C68,'Нормативные показатели (рабочая'!L:L=H68,'Нормативные показатели (рабочая'!N:N=""на ОРП"",'Нормативные показатели (рабочая'!M:M=""max"")&lt;O68,(O68-FILTER"&amp;"('Нормативные показатели (рабочая'!O:O,'Нормативные показатели (рабочая'!K:K=C68,'Нормативные показатели (рабочая'!L:L=H68,'Нормативные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(рабочая'!K:K=C68,'Нормативные показатели (рабочая'!L:L=H68,'Нормативные показатели (рабочая'!N:N=""на ОРП"",'Нормативные показатели (рабочая'!M:M=""max"")))"),"")</f>
        <v/>
      </c>
      <c r="R68" s="53"/>
      <c r="S68" s="52"/>
      <c r="T68" s="48" t="str">
        <f>IFERROR(__xludf.DUMMYFUNCTION("IFS(F68&gt;26,""нет нормы"",C68="""","""",C68&lt;&gt;""МКД"",""нет нормы"",H68&lt;&gt;""Типовой"",""нет нормы"", AND(F68&lt;26,C68=""МКД""),ifs(FILTER('Нормативные показатели (рабочая'!O:O,'Нормативные показатели (рабочая'!K:K=C68,'Нормативные показатели (рабочая'!L:L=H68,"&amp;"'Нормативные показатели (рабочая'!N:N=""на S плиты"",'Нормативные показатели (рабочая'!M:M=""min"")&gt;R68,(-1) *(FILTER('Нормативные показатели (рабочая'!O:O,'Нормативные показатели (рабочая'!K:K=C68,'Нормативные показатели (рабочая'!L:L=H68,'Нормативные по"&amp;"казатели (рабочая'!N:N=""на S плиты"",'Нормативные показатели (рабочая'!M:M=""min"")-R68)/FILTER('Нормативные показатели (рабочая'!O:O,'Нормативные показатели (рабочая'!K:K=C68,'Нормативные показатели (рабочая'!L:L=H68,'Нормативные показатели (рабочая'!N:"&amp;"N=""на S плиты"",'Нормативные показатели (рабочая'!M:M=""min""),AND(R68&gt;=FILTER('Нормативные показатели (рабочая'!O:O,'Нормативные показатели (рабочая'!K:K=C68,'Нормативные показатели (рабочая'!L:L=H68,'Нормативные показатели (рабочая'!N:N=""на S плиты"","&amp;"'Нормативные показатели (рабочая'!M:M=""min""),R68&lt;=FILTER('Нормативные показатели (рабочая'!O:O,'Нормативные показатели (рабочая'!K:K=C68,'Нормативные показатели (рабочая'!L:L=H68,'Нормативные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(рабочая'!K:K=C68,'Нормативные показатели (рабочая'!L:L=H68,'Нормативные показатели (рабочая'!N:N=""на S плиты"",'Нормативные показатели (рабочая'!M:M="&amp;"""max"")&lt;R68,(R68-FILTER('Нормативные показатели (рабочая'!O:O,'Нормативные показатели (рабочая'!K:K=C68,'Нормативные показатели (рабочая'!L:L=H68,'Нормативные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(рабочая'!K:K=C68,'Нормативные показатели (рабочая'!L:L=H68,'Нормативные показатели (рабочая'!N:N=""на S плиты"",'Нормативные показатели (рабочая'!M:M=""max"")))"),"")</f>
        <v/>
      </c>
      <c r="U68" s="20"/>
      <c r="V68" s="25"/>
      <c r="W68" s="25"/>
    </row>
    <row r="69" ht="15.75" customHeight="1">
      <c r="A69" s="29"/>
      <c r="B69" s="16"/>
      <c r="C69" s="29"/>
      <c r="D69" s="29"/>
      <c r="E69" s="29"/>
      <c r="F69" s="29"/>
      <c r="G69" s="29"/>
      <c r="H69" s="41"/>
      <c r="I69" s="41"/>
      <c r="J69" s="51"/>
      <c r="K69" s="29"/>
      <c r="L69" s="29"/>
      <c r="M69" s="29"/>
      <c r="N69" s="29"/>
      <c r="O69" s="45" t="str">
        <f t="shared" si="3"/>
        <v/>
      </c>
      <c r="P69" s="52"/>
      <c r="Q69" s="47" t="str">
        <f>IFERROR(__xludf.DUMMYFUNCTION("IFS(F69&gt;26,""нет нормы"",C69="""","""",C69&lt;&gt;""МКД"",""нет нормы"",H69&lt;&gt;""Типовой"",""нет нормы"", AND(F69&lt;26,C69=""МКД""),ifs(FILTER('Нормативные показатели (рабочая'!O:O,'Нормативные показатели (рабочая'!K:K=C69,'Нормативные показатели (рабочая'!L:L=H69,"&amp;"'Нормативные показатели (рабочая'!N:N=""на ОРП"",'Нормативные показатели (рабочая'!M:M=""min"")&gt;O69,(-1) *(FILTER('Нормативные показатели (рабочая'!O:O,'Нормативные показатели (рабочая'!K:K=C69,'Нормативные показатели (рабочая'!L:L=H69,'Нормативные показа"&amp;"тели (рабочая'!N:N=""на ОРП"",'Нормативные показатели (рабочая'!M:M=""min"")-O69)/FILTER('Нормативные показатели (рабочая'!O:O,'Нормативные показатели (рабочая'!K:K=C69,'Нормативные показатели (рабочая'!L:L=H69,'Нормативные показатели (рабочая'!N:N=""на О"&amp;"РП"",'Нормативные показатели (рабочая'!M:M=""min""),AND(O69&gt;=FILTER('Нормативные показатели (рабочая'!O:O,'Нормативные показатели (рабочая'!K:K=C69,'Нормативные показатели (рабочая'!L:L=H69,'Нормативные показатели (рабочая'!N:N=""на ОРП"",'Нормативные пок"&amp;"азатели (рабочая'!M:M=""min""),O69&lt;=FILTER('Нормативные показатели (рабочая'!O:O,'Нормативные показатели (рабочая'!K:K=C69,'Нормативные показатели (рабочая'!L:L=H69,'Нормативные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(рабочая'!K:K=C69,'Нормативные показатели (рабочая'!L:L=H69,'Нормативные показатели (рабочая'!N:N=""на ОРП"",'Нормативные показатели (рабочая'!M:M=""max"")&lt;O69,(O69-FILTER"&amp;"('Нормативные показатели (рабочая'!O:O,'Нормативные показатели (рабочая'!K:K=C69,'Нормативные показатели (рабочая'!L:L=H69,'Нормативные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(рабочая'!K:K=C69,'Нормативные показатели (рабочая'!L:L=H69,'Нормативные показатели (рабочая'!N:N=""на ОРП"",'Нормативные показатели (рабочая'!M:M=""max"")))"),"")</f>
        <v/>
      </c>
      <c r="R69" s="53"/>
      <c r="S69" s="52"/>
      <c r="T69" s="48" t="str">
        <f>IFERROR(__xludf.DUMMYFUNCTION("IFS(F69&gt;26,""нет нормы"",C69="""","""",C69&lt;&gt;""МКД"",""нет нормы"",H69&lt;&gt;""Типовой"",""нет нормы"", AND(F69&lt;26,C69=""МКД""),ifs(FILTER('Нормативные показатели (рабочая'!O:O,'Нормативные показатели (рабочая'!K:K=C69,'Нормативные показатели (рабочая'!L:L=H69,"&amp;"'Нормативные показатели (рабочая'!N:N=""на S плиты"",'Нормативные показатели (рабочая'!M:M=""min"")&gt;R69,(-1) *(FILTER('Нормативные показатели (рабочая'!O:O,'Нормативные показатели (рабочая'!K:K=C69,'Нормативные показатели (рабочая'!L:L=H69,'Нормативные по"&amp;"казатели (рабочая'!N:N=""на S плиты"",'Нормативные показатели (рабочая'!M:M=""min"")-R69)/FILTER('Нормативные показатели (рабочая'!O:O,'Нормативные показатели (рабочая'!K:K=C69,'Нормативные показатели (рабочая'!L:L=H69,'Нормативные показатели (рабочая'!N:"&amp;"N=""на S плиты"",'Нормативные показатели (рабочая'!M:M=""min""),AND(R69&gt;=FILTER('Нормативные показатели (рабочая'!O:O,'Нормативные показатели (рабочая'!K:K=C69,'Нормативные показатели (рабочая'!L:L=H69,'Нормативные показатели (рабочая'!N:N=""на S плиты"","&amp;"'Нормативные показатели (рабочая'!M:M=""min""),R69&lt;=FILTER('Нормативные показатели (рабочая'!O:O,'Нормативные показатели (рабочая'!K:K=C69,'Нормативные показатели (рабочая'!L:L=H69,'Нормативные показатели (рабочая'!N:N=""на S плиты"",'Нормативные показате"&amp;"ли (рабочая'!M:M=""max"")),""нет"",FILTER('Нормативные показатели (рабочая'!O:O,'Нормативные показатели (рабочая'!K:K=C69,'Нормативные показатели (рабочая'!L:L=H69,'Нормативные показатели (рабочая'!N:N=""на S плиты"",'Нормативные показатели (рабочая'!M:M="&amp;"""max"")&lt;R69,(R69-FILTER('Нормативные показатели (рабочая'!O:O,'Нормативные показатели (рабочая'!K:K=C69,'Нормативные показатели (рабочая'!L:L=H69,'Нормативные показатели (рабочая'!N:N=""на S плиты"",'Нормативные показатели (рабочая'!M:M=""max""))/FILTER("&amp;"'Нормативные показатели (рабочая'!O:O,'Нормативные показатели (рабочая'!K:K=C69,'Нормативные показатели (рабочая'!L:L=H69,'Нормативные показатели (рабочая'!N:N=""на S плиты"",'Нормативные показатели (рабочая'!M:M=""max"")))"),"")</f>
        <v/>
      </c>
      <c r="U69" s="20"/>
      <c r="V69" s="25"/>
      <c r="W69" s="25"/>
    </row>
    <row r="70" ht="15.75" customHeight="1">
      <c r="A70" s="29"/>
      <c r="B70" s="16"/>
      <c r="C70" s="29"/>
      <c r="D70" s="29"/>
      <c r="E70" s="29"/>
      <c r="F70" s="29"/>
      <c r="G70" s="29"/>
      <c r="H70" s="41"/>
      <c r="I70" s="41"/>
      <c r="J70" s="51"/>
      <c r="K70" s="29"/>
      <c r="L70" s="29"/>
      <c r="M70" s="29"/>
      <c r="N70" s="29"/>
      <c r="O70" s="45" t="str">
        <f t="shared" si="3"/>
        <v/>
      </c>
      <c r="P70" s="52"/>
      <c r="Q70" s="47" t="str">
        <f>IFERROR(__xludf.DUMMYFUNCTION("IFS(F70&gt;26,""нет нормы"",C70="""","""",C70&lt;&gt;""МКД"",""нет нормы"",H70&lt;&gt;""Типовой"",""нет нормы"", AND(F70&lt;26,C70=""МКД""),ifs(FILTER('Нормативные показатели (рабочая'!O:O,'Нормативные показатели (рабочая'!K:K=C70,'Нормативные показатели (рабочая'!L:L=H70,"&amp;"'Нормативные показатели (рабочая'!N:N=""на ОРП"",'Нормативные показатели (рабочая'!M:M=""min"")&gt;O70,(-1) *(FILTER('Нормативные показатели (рабочая'!O:O,'Нормативные показатели (рабочая'!K:K=C70,'Нормативные показатели (рабочая'!L:L=H70,'Нормативные показа"&amp;"тели (рабочая'!N:N=""на ОРП"",'Нормативные показатели (рабочая'!M:M=""min"")-O70)/FILTER('Нормативные показатели (рабочая'!O:O,'Нормативные показатели (рабочая'!K:K=C70,'Нормативные показатели (рабочая'!L:L=H70,'Нормативные показатели (рабочая'!N:N=""на О"&amp;"РП"",'Нормативные показатели (рабочая'!M:M=""min""),AND(O70&gt;=FILTER('Нормативные показатели (рабочая'!O:O,'Нормативные показатели (рабочая'!K:K=C70,'Нормативные показатели (рабочая'!L:L=H70,'Нормативные показатели (рабочая'!N:N=""на ОРП"",'Нормативные пок"&amp;"азатели (рабочая'!M:M=""min""),O70&lt;=FILTER('Нормативные показатели (рабочая'!O:O,'Нормативные показатели (рабочая'!K:K=C70,'Нормативные показатели (рабочая'!L:L=H70,'Нормативные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(рабочая'!K:K=C70,'Нормативные показатели (рабочая'!L:L=H70,'Нормативные показатели (рабочая'!N:N=""на ОРП"",'Нормативные показатели (рабочая'!M:M=""max"")&lt;O70,(O70-FILTER"&amp;"('Нормативные показатели (рабочая'!O:O,'Нормативные показатели (рабочая'!K:K=C70,'Нормативные показатели (рабочая'!L:L=H70,'Нормативные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(рабочая'!K:K=C70,'Нормативные показатели (рабочая'!L:L=H70,'Нормативные показатели (рабочая'!N:N=""на ОРП"",'Нормативные показатели (рабочая'!M:M=""max"")))"),"")</f>
        <v/>
      </c>
      <c r="R70" s="53"/>
      <c r="S70" s="52"/>
      <c r="T70" s="52"/>
      <c r="U70" s="20"/>
      <c r="V70" s="25"/>
      <c r="W70" s="25"/>
    </row>
    <row r="71" ht="15.75" customHeight="1">
      <c r="A71" s="29"/>
      <c r="B71" s="16"/>
      <c r="C71" s="29"/>
      <c r="D71" s="29"/>
      <c r="E71" s="29"/>
      <c r="F71" s="29"/>
      <c r="G71" s="29"/>
      <c r="H71" s="41"/>
      <c r="I71" s="41"/>
      <c r="J71" s="51"/>
      <c r="K71" s="29"/>
      <c r="L71" s="29"/>
      <c r="M71" s="29"/>
      <c r="N71" s="29"/>
      <c r="O71" s="45" t="str">
        <f t="shared" si="3"/>
        <v/>
      </c>
      <c r="P71" s="52"/>
      <c r="Q71" s="47" t="str">
        <f>IFERROR(__xludf.DUMMYFUNCTION("IFS(F71&gt;26,""нет нормы"",C71="""","""",C71&lt;&gt;""МКД"",""нет нормы"",H71&lt;&gt;""Типовой"",""нет нормы"", AND(F71&lt;26,C71=""МКД""),ifs(FILTER('Нормативные показатели (рабочая'!O:O,'Нормативные показатели (рабочая'!K:K=C71,'Нормативные показатели (рабочая'!L:L=H71,"&amp;"'Нормативные показатели (рабочая'!N:N=""на ОРП"",'Нормативные показатели (рабочая'!M:M=""min"")&gt;O71,(-1) *(FILTER('Нормативные показатели (рабочая'!O:O,'Нормативные показатели (рабочая'!K:K=C71,'Нормативные показатели (рабочая'!L:L=H71,'Нормативные показа"&amp;"тели (рабочая'!N:N=""на ОРП"",'Нормативные показатели (рабочая'!M:M=""min"")-O71)/FILTER('Нормативные показатели (рабочая'!O:O,'Нормативные показатели (рабочая'!K:K=C71,'Нормативные показатели (рабочая'!L:L=H71,'Нормативные показатели (рабочая'!N:N=""на О"&amp;"РП"",'Нормативные показатели (рабочая'!M:M=""min""),AND(O71&gt;=FILTER('Нормативные показатели (рабочая'!O:O,'Нормативные показатели (рабочая'!K:K=C71,'Нормативные показатели (рабочая'!L:L=H71,'Нормативные показатели (рабочая'!N:N=""на ОРП"",'Нормативные пок"&amp;"азатели (рабочая'!M:M=""min""),O71&lt;=FILTER('Нормативные показатели (рабочая'!O:O,'Нормативные показатели (рабочая'!K:K=C71,'Нормативные показатели (рабочая'!L:L=H71,'Нормативные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(рабочая'!K:K=C71,'Нормативные показатели (рабочая'!L:L=H71,'Нормативные показатели (рабочая'!N:N=""на ОРП"",'Нормативные показатели (рабочая'!M:M=""max"")&lt;O71,(O71-FILTER"&amp;"('Нормативные показатели (рабочая'!O:O,'Нормативные показатели (рабочая'!K:K=C71,'Нормативные показатели (рабочая'!L:L=H71,'Нормативные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(рабочая'!K:K=C71,'Нормативные показатели (рабочая'!L:L=H71,'Нормативные показатели (рабочая'!N:N=""на ОРП"",'Нормативные показатели (рабочая'!M:M=""max"")))"),"")</f>
        <v/>
      </c>
      <c r="R71" s="53"/>
      <c r="S71" s="52"/>
      <c r="T71" s="52"/>
      <c r="U71" s="20"/>
      <c r="V71" s="25"/>
      <c r="W71" s="25"/>
    </row>
    <row r="72" ht="15.75" customHeight="1">
      <c r="A72" s="29"/>
      <c r="B72" s="16"/>
      <c r="C72" s="29"/>
      <c r="D72" s="29"/>
      <c r="E72" s="29"/>
      <c r="F72" s="29"/>
      <c r="G72" s="29"/>
      <c r="H72" s="41"/>
      <c r="I72" s="41"/>
      <c r="J72" s="51"/>
      <c r="K72" s="29"/>
      <c r="L72" s="29"/>
      <c r="M72" s="29"/>
      <c r="N72" s="29"/>
      <c r="O72" s="45" t="str">
        <f t="shared" si="3"/>
        <v/>
      </c>
      <c r="P72" s="52"/>
      <c r="Q72" s="47" t="str">
        <f>IFERROR(__xludf.DUMMYFUNCTION("IFS(F72&gt;26,""нет нормы"",C72="""","""",C72&lt;&gt;""МКД"",""нет нормы"",H72&lt;&gt;""Типовой"",""нет нормы"", AND(F72&lt;26,C72=""МКД""),ifs(FILTER('Нормативные показатели (рабочая'!O:O,'Нормативные показатели (рабочая'!K:K=C72,'Нормативные показатели (рабочая'!L:L=H72,"&amp;"'Нормативные показатели (рабочая'!N:N=""на ОРП"",'Нормативные показатели (рабочая'!M:M=""min"")&gt;O72,(-1) *(FILTER('Нормативные показатели (рабочая'!O:O,'Нормативные показатели (рабочая'!K:K=C72,'Нормативные показатели (рабочая'!L:L=H72,'Нормативные показа"&amp;"тели (рабочая'!N:N=""на ОРП"",'Нормативные показатели (рабочая'!M:M=""min"")-O72)/FILTER('Нормативные показатели (рабочая'!O:O,'Нормативные показатели (рабочая'!K:K=C72,'Нормативные показатели (рабочая'!L:L=H72,'Нормативные показатели (рабочая'!N:N=""на О"&amp;"РП"",'Нормативные показатели (рабочая'!M:M=""min""),AND(O72&gt;=FILTER('Нормативные показатели (рабочая'!O:O,'Нормативные показатели (рабочая'!K:K=C72,'Нормативные показатели (рабочая'!L:L=H72,'Нормативные показатели (рабочая'!N:N=""на ОРП"",'Нормативные пок"&amp;"азатели (рабочая'!M:M=""min""),O72&lt;=FILTER('Нормативные показатели (рабочая'!O:O,'Нормативные показатели (рабочая'!K:K=C72,'Нормативные показатели (рабочая'!L:L=H72,'Нормативные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(рабочая'!K:K=C72,'Нормативные показатели (рабочая'!L:L=H72,'Нормативные показатели (рабочая'!N:N=""на ОРП"",'Нормативные показатели (рабочая'!M:M=""max"")&lt;O72,(O72-FILTER"&amp;"('Нормативные показатели (рабочая'!O:O,'Нормативные показатели (рабочая'!K:K=C72,'Нормативные показатели (рабочая'!L:L=H72,'Нормативные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(рабочая'!K:K=C72,'Нормативные показатели (рабочая'!L:L=H72,'Нормативные показатели (рабочая'!N:N=""на ОРП"",'Нормативные показатели (рабочая'!M:M=""max"")))"),"")</f>
        <v/>
      </c>
      <c r="R72" s="53"/>
      <c r="S72" s="52"/>
      <c r="T72" s="52"/>
      <c r="U72" s="20"/>
      <c r="V72" s="25"/>
      <c r="W72" s="25"/>
    </row>
    <row r="73" ht="15.75" customHeight="1">
      <c r="A73" s="29"/>
      <c r="B73" s="16"/>
      <c r="C73" s="29"/>
      <c r="D73" s="29"/>
      <c r="E73" s="29"/>
      <c r="F73" s="29"/>
      <c r="G73" s="29"/>
      <c r="H73" s="41"/>
      <c r="I73" s="41"/>
      <c r="J73" s="51"/>
      <c r="K73" s="29"/>
      <c r="L73" s="29"/>
      <c r="M73" s="29"/>
      <c r="N73" s="29"/>
      <c r="O73" s="45" t="str">
        <f t="shared" si="3"/>
        <v/>
      </c>
      <c r="P73" s="52"/>
      <c r="Q73" s="47" t="str">
        <f>IFERROR(__xludf.DUMMYFUNCTION("IFS(F73&gt;26,""нет нормы"",C73="""","""",C73&lt;&gt;""МКД"",""нет нормы"",H73&lt;&gt;""Типовой"",""нет нормы"", AND(F73&lt;26,C73=""МКД""),ifs(FILTER('Нормативные показатели (рабочая'!O:O,'Нормативные показатели (рабочая'!K:K=C73,'Нормативные показатели (рабочая'!L:L=H73,"&amp;"'Нормативные показатели (рабочая'!N:N=""на ОРП"",'Нормативные показатели (рабочая'!M:M=""min"")&gt;O73,(-1) *(FILTER('Нормативные показатели (рабочая'!O:O,'Нормативные показатели (рабочая'!K:K=C73,'Нормативные показатели (рабочая'!L:L=H73,'Нормативные показа"&amp;"тели (рабочая'!N:N=""на ОРП"",'Нормативные показатели (рабочая'!M:M=""min"")-O73)/FILTER('Нормативные показатели (рабочая'!O:O,'Нормативные показатели (рабочая'!K:K=C73,'Нормативные показатели (рабочая'!L:L=H73,'Нормативные показатели (рабочая'!N:N=""на О"&amp;"РП"",'Нормативные показатели (рабочая'!M:M=""min""),AND(O73&gt;=FILTER('Нормативные показатели (рабочая'!O:O,'Нормативные показатели (рабочая'!K:K=C73,'Нормативные показатели (рабочая'!L:L=H73,'Нормативные показатели (рабочая'!N:N=""на ОРП"",'Нормативные пок"&amp;"азатели (рабочая'!M:M=""min""),O73&lt;=FILTER('Нормативные показатели (рабочая'!O:O,'Нормативные показатели (рабочая'!K:K=C73,'Нормативные показатели (рабочая'!L:L=H73,'Нормативные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(рабочая'!K:K=C73,'Нормативные показатели (рабочая'!L:L=H73,'Нормативные показатели (рабочая'!N:N=""на ОРП"",'Нормативные показатели (рабочая'!M:M=""max"")&lt;O73,(O73-FILTER"&amp;"('Нормативные показатели (рабочая'!O:O,'Нормативные показатели (рабочая'!K:K=C73,'Нормативные показатели (рабочая'!L:L=H73,'Нормативные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(рабочая'!K:K=C73,'Нормативные показатели (рабочая'!L:L=H73,'Нормативные показатели (рабочая'!N:N=""на ОРП"",'Нормативные показатели (рабочая'!M:M=""max"")))"),"")</f>
        <v/>
      </c>
      <c r="R73" s="53"/>
      <c r="S73" s="52"/>
      <c r="T73" s="52"/>
      <c r="U73" s="20"/>
      <c r="V73" s="25"/>
      <c r="W73" s="25"/>
    </row>
    <row r="74" ht="15.75" customHeight="1">
      <c r="A74" s="29"/>
      <c r="B74" s="16"/>
      <c r="C74" s="29"/>
      <c r="D74" s="29"/>
      <c r="E74" s="29"/>
      <c r="F74" s="29"/>
      <c r="G74" s="29"/>
      <c r="H74" s="41"/>
      <c r="I74" s="41"/>
      <c r="J74" s="51"/>
      <c r="K74" s="29"/>
      <c r="L74" s="29"/>
      <c r="M74" s="29"/>
      <c r="N74" s="29"/>
      <c r="O74" s="45" t="str">
        <f t="shared" si="3"/>
        <v/>
      </c>
      <c r="P74" s="52"/>
      <c r="Q74" s="47" t="str">
        <f>IFERROR(__xludf.DUMMYFUNCTION("IFS(F74&gt;26,""нет нормы"",C74="""","""",C74&lt;&gt;""МКД"",""нет нормы"",H74&lt;&gt;""Типовой"",""нет нормы"", AND(F74&lt;26,C74=""МКД""),ifs(FILTER('Нормативные показатели (рабочая'!O:O,'Нормативные показатели (рабочая'!K:K=C74,'Нормативные показатели (рабочая'!L:L=H74,"&amp;"'Нормативные показатели (рабочая'!N:N=""на ОРП"",'Нормативные показатели (рабочая'!M:M=""min"")&gt;O74,(-1) *(FILTER('Нормативные показатели (рабочая'!O:O,'Нормативные показатели (рабочая'!K:K=C74,'Нормативные показатели (рабочая'!L:L=H74,'Нормативные показа"&amp;"тели (рабочая'!N:N=""на ОРП"",'Нормативные показатели (рабочая'!M:M=""min"")-O74)/FILTER('Нормативные показатели (рабочая'!O:O,'Нормативные показатели (рабочая'!K:K=C74,'Нормативные показатели (рабочая'!L:L=H74,'Нормативные показатели (рабочая'!N:N=""на О"&amp;"РП"",'Нормативные показатели (рабочая'!M:M=""min""),AND(O74&gt;=FILTER('Нормативные показатели (рабочая'!O:O,'Нормативные показатели (рабочая'!K:K=C74,'Нормативные показатели (рабочая'!L:L=H74,'Нормативные показатели (рабочая'!N:N=""на ОРП"",'Нормативные пок"&amp;"азатели (рабочая'!M:M=""min""),O74&lt;=FILTER('Нормативные показатели (рабочая'!O:O,'Нормативные показатели (рабочая'!K:K=C74,'Нормативные показатели (рабочая'!L:L=H74,'Нормативные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(рабочая'!K:K=C74,'Нормативные показатели (рабочая'!L:L=H74,'Нормативные показатели (рабочая'!N:N=""на ОРП"",'Нормативные показатели (рабочая'!M:M=""max"")&lt;O74,(O74-FILTER"&amp;"('Нормативные показатели (рабочая'!O:O,'Нормативные показатели (рабочая'!K:K=C74,'Нормативные показатели (рабочая'!L:L=H74,'Нормативные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(рабочая'!K:K=C74,'Нормативные показатели (рабочая'!L:L=H74,'Нормативные показатели (рабочая'!N:N=""на ОРП"",'Нормативные показатели (рабочая'!M:M=""max"")))"),"")</f>
        <v/>
      </c>
      <c r="R74" s="53"/>
      <c r="S74" s="52"/>
      <c r="T74" s="52"/>
      <c r="U74" s="20"/>
      <c r="V74" s="25"/>
      <c r="W74" s="25"/>
    </row>
    <row r="75" ht="15.75" customHeight="1">
      <c r="A75" s="29"/>
      <c r="B75" s="16"/>
      <c r="C75" s="29"/>
      <c r="D75" s="29"/>
      <c r="E75" s="29"/>
      <c r="F75" s="29"/>
      <c r="G75" s="29"/>
      <c r="H75" s="41"/>
      <c r="I75" s="41"/>
      <c r="J75" s="51"/>
      <c r="K75" s="29"/>
      <c r="L75" s="29"/>
      <c r="M75" s="29"/>
      <c r="N75" s="29"/>
      <c r="O75" s="45" t="str">
        <f t="shared" si="3"/>
        <v/>
      </c>
      <c r="P75" s="52"/>
      <c r="Q75" s="47" t="str">
        <f>IFERROR(__xludf.DUMMYFUNCTION("IFS(F75&gt;26,""нет нормы"",C75="""","""",C75&lt;&gt;""МКД"",""нет нормы"",H75&lt;&gt;""Типовой"",""нет нормы"", AND(F75&lt;26,C75=""МКД""),ifs(FILTER('Нормативные показатели (рабочая'!O:O,'Нормативные показатели (рабочая'!K:K=C75,'Нормативные показатели (рабочая'!L:L=H75,"&amp;"'Нормативные показатели (рабочая'!N:N=""на ОРП"",'Нормативные показатели (рабочая'!M:M=""min"")&gt;O75,(-1) *(FILTER('Нормативные показатели (рабочая'!O:O,'Нормативные показатели (рабочая'!K:K=C75,'Нормативные показатели (рабочая'!L:L=H75,'Нормативные показа"&amp;"тели (рабочая'!N:N=""на ОРП"",'Нормативные показатели (рабочая'!M:M=""min"")-O75)/FILTER('Нормативные показатели (рабочая'!O:O,'Нормативные показатели (рабочая'!K:K=C75,'Нормативные показатели (рабочая'!L:L=H75,'Нормативные показатели (рабочая'!N:N=""на О"&amp;"РП"",'Нормативные показатели (рабочая'!M:M=""min""),AND(O75&gt;=FILTER('Нормативные показатели (рабочая'!O:O,'Нормативные показатели (рабочая'!K:K=C75,'Нормативные показатели (рабочая'!L:L=H75,'Нормативные показатели (рабочая'!N:N=""на ОРП"",'Нормативные пок"&amp;"азатели (рабочая'!M:M=""min""),O75&lt;=FILTER('Нормативные показатели (рабочая'!O:O,'Нормативные показатели (рабочая'!K:K=C75,'Нормативные показатели (рабочая'!L:L=H75,'Нормативные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(рабочая'!K:K=C75,'Нормативные показатели (рабочая'!L:L=H75,'Нормативные показатели (рабочая'!N:N=""на ОРП"",'Нормативные показатели (рабочая'!M:M=""max"")&lt;O75,(O75-FILTER"&amp;"('Нормативные показатели (рабочая'!O:O,'Нормативные показатели (рабочая'!K:K=C75,'Нормативные показатели (рабочая'!L:L=H75,'Нормативные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(рабочая'!K:K=C75,'Нормативные показатели (рабочая'!L:L=H75,'Нормативные показатели (рабочая'!N:N=""на ОРП"",'Нормативные показатели (рабочая'!M:M=""max"")))"),"")</f>
        <v/>
      </c>
      <c r="R75" s="53"/>
      <c r="S75" s="52"/>
      <c r="T75" s="52"/>
      <c r="U75" s="20"/>
      <c r="V75" s="25"/>
      <c r="W75" s="25"/>
    </row>
    <row r="76" ht="15.75" customHeight="1">
      <c r="A76" s="29"/>
      <c r="B76" s="16"/>
      <c r="C76" s="29"/>
      <c r="D76" s="29"/>
      <c r="E76" s="29"/>
      <c r="F76" s="29"/>
      <c r="G76" s="29"/>
      <c r="H76" s="41"/>
      <c r="I76" s="41"/>
      <c r="J76" s="51"/>
      <c r="K76" s="29"/>
      <c r="L76" s="29"/>
      <c r="M76" s="29"/>
      <c r="N76" s="29"/>
      <c r="O76" s="45" t="str">
        <f t="shared" si="3"/>
        <v/>
      </c>
      <c r="P76" s="52"/>
      <c r="Q76" s="47" t="str">
        <f>IFERROR(__xludf.DUMMYFUNCTION("IFS(F76&gt;26,""нет нормы"",C76="""","""",C76&lt;&gt;""МКД"",""нет нормы"",H76&lt;&gt;""Типовой"",""нет нормы"", AND(F76&lt;26,C76=""МКД""),ifs(FILTER('Нормативные показатели (рабочая'!O:O,'Нормативные показатели (рабочая'!K:K=C76,'Нормативные показатели (рабочая'!L:L=H76,"&amp;"'Нормативные показатели (рабочая'!N:N=""на ОРП"",'Нормативные показатели (рабочая'!M:M=""min"")&gt;O76,(-1) *(FILTER('Нормативные показатели (рабочая'!O:O,'Нормативные показатели (рабочая'!K:K=C76,'Нормативные показатели (рабочая'!L:L=H76,'Нормативные показа"&amp;"тели (рабочая'!N:N=""на ОРП"",'Нормативные показатели (рабочая'!M:M=""min"")-O76)/FILTER('Нормативные показатели (рабочая'!O:O,'Нормативные показатели (рабочая'!K:K=C76,'Нормативные показатели (рабочая'!L:L=H76,'Нормативные показатели (рабочая'!N:N=""на О"&amp;"РП"",'Нормативные показатели (рабочая'!M:M=""min""),AND(O76&gt;=FILTER('Нормативные показатели (рабочая'!O:O,'Нормативные показатели (рабочая'!K:K=C76,'Нормативные показатели (рабочая'!L:L=H76,'Нормативные показатели (рабочая'!N:N=""на ОРП"",'Нормативные пок"&amp;"азатели (рабочая'!M:M=""min""),O76&lt;=FILTER('Нормативные показатели (рабочая'!O:O,'Нормативные показатели (рабочая'!K:K=C76,'Нормативные показатели (рабочая'!L:L=H76,'Нормативные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(рабочая'!K:K=C76,'Нормативные показатели (рабочая'!L:L=H76,'Нормативные показатели (рабочая'!N:N=""на ОРП"",'Нормативные показатели (рабочая'!M:M=""max"")&lt;O76,(O76-FILTER"&amp;"('Нормативные показатели (рабочая'!O:O,'Нормативные показатели (рабочая'!K:K=C76,'Нормативные показатели (рабочая'!L:L=H76,'Нормативные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(рабочая'!K:K=C76,'Нормативные показатели (рабочая'!L:L=H76,'Нормативные показатели (рабочая'!N:N=""на ОРП"",'Нормативные показатели (рабочая'!M:M=""max"")))"),"")</f>
        <v/>
      </c>
      <c r="R76" s="53"/>
      <c r="S76" s="52"/>
      <c r="T76" s="52"/>
      <c r="U76" s="20"/>
      <c r="V76" s="25"/>
      <c r="W76" s="25"/>
    </row>
    <row r="77" ht="15.75" customHeight="1">
      <c r="A77" s="29"/>
      <c r="B77" s="16"/>
      <c r="C77" s="29"/>
      <c r="D77" s="29"/>
      <c r="E77" s="29"/>
      <c r="F77" s="29"/>
      <c r="G77" s="29"/>
      <c r="H77" s="41"/>
      <c r="I77" s="41"/>
      <c r="J77" s="51"/>
      <c r="K77" s="29"/>
      <c r="L77" s="29"/>
      <c r="M77" s="29"/>
      <c r="N77" s="29"/>
      <c r="O77" s="45" t="str">
        <f t="shared" si="3"/>
        <v/>
      </c>
      <c r="P77" s="52"/>
      <c r="Q77" s="47" t="str">
        <f>IFERROR(__xludf.DUMMYFUNCTION("IFS(F77&gt;26,""нет нормы"",C77="""","""",C77&lt;&gt;""МКД"",""нет нормы"",H77&lt;&gt;""Типовой"",""нет нормы"", AND(F77&lt;26,C77=""МКД""),ifs(FILTER('Нормативные показатели (рабочая'!O:O,'Нормативные показатели (рабочая'!K:K=C77,'Нормативные показатели (рабочая'!L:L=H77,"&amp;"'Нормативные показатели (рабочая'!N:N=""на ОРП"",'Нормативные показатели (рабочая'!M:M=""min"")&gt;O77,(-1) *(FILTER('Нормативные показатели (рабочая'!O:O,'Нормативные показатели (рабочая'!K:K=C77,'Нормативные показатели (рабочая'!L:L=H77,'Нормативные показа"&amp;"тели (рабочая'!N:N=""на ОРП"",'Нормативные показатели (рабочая'!M:M=""min"")-O77)/FILTER('Нормативные показатели (рабочая'!O:O,'Нормативные показатели (рабочая'!K:K=C77,'Нормативные показатели (рабочая'!L:L=H77,'Нормативные показатели (рабочая'!N:N=""на О"&amp;"РП"",'Нормативные показатели (рабочая'!M:M=""min""),AND(O77&gt;=FILTER('Нормативные показатели (рабочая'!O:O,'Нормативные показатели (рабочая'!K:K=C77,'Нормативные показатели (рабочая'!L:L=H77,'Нормативные показатели (рабочая'!N:N=""на ОРП"",'Нормативные пок"&amp;"азатели (рабочая'!M:M=""min""),O77&lt;=FILTER('Нормативные показатели (рабочая'!O:O,'Нормативные показатели (рабочая'!K:K=C77,'Нормативные показатели (рабочая'!L:L=H77,'Нормативные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(рабочая'!K:K=C77,'Нормативные показатели (рабочая'!L:L=H77,'Нормативные показатели (рабочая'!N:N=""на ОРП"",'Нормативные показатели (рабочая'!M:M=""max"")&lt;O77,(O77-FILTER"&amp;"('Нормативные показатели (рабочая'!O:O,'Нормативные показатели (рабочая'!K:K=C77,'Нормативные показатели (рабочая'!L:L=H77,'Нормативные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(рабочая'!K:K=C77,'Нормативные показатели (рабочая'!L:L=H77,'Нормативные показатели (рабочая'!N:N=""на ОРП"",'Нормативные показатели (рабочая'!M:M=""max"")))"),"")</f>
        <v/>
      </c>
      <c r="R77" s="53"/>
      <c r="S77" s="52"/>
      <c r="T77" s="52"/>
      <c r="U77" s="20"/>
      <c r="V77" s="25"/>
      <c r="W77" s="25"/>
    </row>
    <row r="78" ht="15.75" customHeight="1">
      <c r="A78" s="29"/>
      <c r="B78" s="16"/>
      <c r="C78" s="29"/>
      <c r="D78" s="29"/>
      <c r="E78" s="29"/>
      <c r="F78" s="29"/>
      <c r="G78" s="29"/>
      <c r="H78" s="41"/>
      <c r="I78" s="41"/>
      <c r="J78" s="51"/>
      <c r="K78" s="29"/>
      <c r="L78" s="29"/>
      <c r="M78" s="29"/>
      <c r="N78" s="29"/>
      <c r="O78" s="45" t="str">
        <f t="shared" si="3"/>
        <v/>
      </c>
      <c r="P78" s="52"/>
      <c r="Q78" s="47" t="str">
        <f>IFERROR(__xludf.DUMMYFUNCTION("IFS(F78&gt;26,""нет нормы"",C78="""","""",C78&lt;&gt;""МКД"",""нет нормы"",H78&lt;&gt;""Типовой"",""нет нормы"", AND(F78&lt;26,C78=""МКД""),ifs(FILTER('Нормативные показатели (рабочая'!O:O,'Нормативные показатели (рабочая'!K:K=C78,'Нормативные показатели (рабочая'!L:L=H78,"&amp;"'Нормативные показатели (рабочая'!N:N=""на ОРП"",'Нормативные показатели (рабочая'!M:M=""min"")&gt;O78,(-1) *(FILTER('Нормативные показатели (рабочая'!O:O,'Нормативные показатели (рабочая'!K:K=C78,'Нормативные показатели (рабочая'!L:L=H78,'Нормативные показа"&amp;"тели (рабочая'!N:N=""на ОРП"",'Нормативные показатели (рабочая'!M:M=""min"")-O78)/FILTER('Нормативные показатели (рабочая'!O:O,'Нормативные показатели (рабочая'!K:K=C78,'Нормативные показатели (рабочая'!L:L=H78,'Нормативные показатели (рабочая'!N:N=""на О"&amp;"РП"",'Нормативные показатели (рабочая'!M:M=""min""),AND(O78&gt;=FILTER('Нормативные показатели (рабочая'!O:O,'Нормативные показатели (рабочая'!K:K=C78,'Нормативные показатели (рабочая'!L:L=H78,'Нормативные показатели (рабочая'!N:N=""на ОРП"",'Нормативные пок"&amp;"азатели (рабочая'!M:M=""min""),O78&lt;=FILTER('Нормативные показатели (рабочая'!O:O,'Нормативные показатели (рабочая'!K:K=C78,'Нормативные показатели (рабочая'!L:L=H78,'Нормативные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(рабочая'!K:K=C78,'Нормативные показатели (рабочая'!L:L=H78,'Нормативные показатели (рабочая'!N:N=""на ОРП"",'Нормативные показатели (рабочая'!M:M=""max"")&lt;O78,(O78-FILTER"&amp;"('Нормативные показатели (рабочая'!O:O,'Нормативные показатели (рабочая'!K:K=C78,'Нормативные показатели (рабочая'!L:L=H78,'Нормативные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(рабочая'!K:K=C78,'Нормативные показатели (рабочая'!L:L=H78,'Нормативные показатели (рабочая'!N:N=""на ОРП"",'Нормативные показатели (рабочая'!M:M=""max"")))"),"")</f>
        <v/>
      </c>
      <c r="R78" s="53"/>
      <c r="S78" s="52"/>
      <c r="T78" s="52"/>
      <c r="U78" s="20"/>
      <c r="V78" s="25"/>
      <c r="W78" s="25"/>
    </row>
    <row r="79" ht="15.75" customHeight="1">
      <c r="A79" s="29"/>
      <c r="B79" s="16"/>
      <c r="C79" s="29"/>
      <c r="D79" s="29"/>
      <c r="E79" s="29"/>
      <c r="F79" s="29"/>
      <c r="G79" s="29"/>
      <c r="H79" s="41"/>
      <c r="I79" s="41"/>
      <c r="J79" s="51"/>
      <c r="K79" s="29"/>
      <c r="L79" s="29"/>
      <c r="M79" s="29"/>
      <c r="N79" s="29"/>
      <c r="O79" s="45" t="str">
        <f t="shared" si="3"/>
        <v/>
      </c>
      <c r="P79" s="52"/>
      <c r="Q79" s="47" t="str">
        <f>IFERROR(__xludf.DUMMYFUNCTION("IFS(F79&gt;26,""нет нормы"",C79="""","""",C79&lt;&gt;""МКД"",""нет нормы"",H79&lt;&gt;""Типовой"",""нет нормы"", AND(F79&lt;26,C79=""МКД""),ifs(FILTER('Нормативные показатели (рабочая'!O:O,'Нормативные показатели (рабочая'!K:K=C79,'Нормативные показатели (рабочая'!L:L=H79,"&amp;"'Нормативные показатели (рабочая'!N:N=""на ОРП"",'Нормативные показатели (рабочая'!M:M=""min"")&gt;O79,(-1) *(FILTER('Нормативные показатели (рабочая'!O:O,'Нормативные показатели (рабочая'!K:K=C79,'Нормативные показатели (рабочая'!L:L=H79,'Нормативные показа"&amp;"тели (рабочая'!N:N=""на ОРП"",'Нормативные показатели (рабочая'!M:M=""min"")-O79)/FILTER('Нормативные показатели (рабочая'!O:O,'Нормативные показатели (рабочая'!K:K=C79,'Нормативные показатели (рабочая'!L:L=H79,'Нормативные показатели (рабочая'!N:N=""на О"&amp;"РП"",'Нормативные показатели (рабочая'!M:M=""min""),AND(O79&gt;=FILTER('Нормативные показатели (рабочая'!O:O,'Нормативные показатели (рабочая'!K:K=C79,'Нормативные показатели (рабочая'!L:L=H79,'Нормативные показатели (рабочая'!N:N=""на ОРП"",'Нормативные пок"&amp;"азатели (рабочая'!M:M=""min""),O79&lt;=FILTER('Нормативные показатели (рабочая'!O:O,'Нормативные показатели (рабочая'!K:K=C79,'Нормативные показатели (рабочая'!L:L=H79,'Нормативные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(рабочая'!K:K=C79,'Нормативные показатели (рабочая'!L:L=H79,'Нормативные показатели (рабочая'!N:N=""на ОРП"",'Нормативные показатели (рабочая'!M:M=""max"")&lt;O79,(O79-FILTER"&amp;"('Нормативные показатели (рабочая'!O:O,'Нормативные показатели (рабочая'!K:K=C79,'Нормативные показатели (рабочая'!L:L=H79,'Нормативные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(рабочая'!K:K=C79,'Нормативные показатели (рабочая'!L:L=H79,'Нормативные показатели (рабочая'!N:N=""на ОРП"",'Нормативные показатели (рабочая'!M:M=""max"")))"),"")</f>
        <v/>
      </c>
      <c r="R79" s="53"/>
      <c r="S79" s="52"/>
      <c r="T79" s="52"/>
      <c r="U79" s="20"/>
      <c r="V79" s="25"/>
      <c r="W79" s="25"/>
    </row>
    <row r="80" ht="15.75" customHeight="1">
      <c r="A80" s="29"/>
      <c r="B80" s="16"/>
      <c r="C80" s="29"/>
      <c r="D80" s="29"/>
      <c r="E80" s="29"/>
      <c r="F80" s="29"/>
      <c r="G80" s="29"/>
      <c r="H80" s="41"/>
      <c r="I80" s="41"/>
      <c r="J80" s="51"/>
      <c r="K80" s="29"/>
      <c r="L80" s="29"/>
      <c r="M80" s="29"/>
      <c r="N80" s="29"/>
      <c r="O80" s="45" t="str">
        <f t="shared" si="3"/>
        <v/>
      </c>
      <c r="P80" s="52"/>
      <c r="Q80" s="47" t="str">
        <f>IFERROR(__xludf.DUMMYFUNCTION("IFS(F80&gt;26,""нет нормы"",C80="""","""",C80&lt;&gt;""МКД"",""нет нормы"",H80&lt;&gt;""Типовой"",""нет нормы"", AND(F80&lt;26,C80=""МКД""),ifs(FILTER('Нормативные показатели (рабочая'!O:O,'Нормативные показатели (рабочая'!K:K=C80,'Нормативные показатели (рабочая'!L:L=H80,"&amp;"'Нормативные показатели (рабочая'!N:N=""на ОРП"",'Нормативные показатели (рабочая'!M:M=""min"")&gt;O80,(-1) *(FILTER('Нормативные показатели (рабочая'!O:O,'Нормативные показатели (рабочая'!K:K=C80,'Нормативные показатели (рабочая'!L:L=H80,'Нормативные показа"&amp;"тели (рабочая'!N:N=""на ОРП"",'Нормативные показатели (рабочая'!M:M=""min"")-O80)/FILTER('Нормативные показатели (рабочая'!O:O,'Нормативные показатели (рабочая'!K:K=C80,'Нормативные показатели (рабочая'!L:L=H80,'Нормативные показатели (рабочая'!N:N=""на О"&amp;"РП"",'Нормативные показатели (рабочая'!M:M=""min""),AND(O80&gt;=FILTER('Нормативные показатели (рабочая'!O:O,'Нормативные показатели (рабочая'!K:K=C80,'Нормативные показатели (рабочая'!L:L=H80,'Нормативные показатели (рабочая'!N:N=""на ОРП"",'Нормативные пок"&amp;"азатели (рабочая'!M:M=""min""),O80&lt;=FILTER('Нормативные показатели (рабочая'!O:O,'Нормативные показатели (рабочая'!K:K=C80,'Нормативные показатели (рабочая'!L:L=H80,'Нормативные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(рабочая'!K:K=C80,'Нормативные показатели (рабочая'!L:L=H80,'Нормативные показатели (рабочая'!N:N=""на ОРП"",'Нормативные показатели (рабочая'!M:M=""max"")&lt;O80,(O80-FILTER"&amp;"('Нормативные показатели (рабочая'!O:O,'Нормативные показатели (рабочая'!K:K=C80,'Нормативные показатели (рабочая'!L:L=H80,'Нормативные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(рабочая'!K:K=C80,'Нормативные показатели (рабочая'!L:L=H80,'Нормативные показатели (рабочая'!N:N=""на ОРП"",'Нормативные показатели (рабочая'!M:M=""max"")))"),"")</f>
        <v/>
      </c>
      <c r="R80" s="53"/>
      <c r="S80" s="52"/>
      <c r="T80" s="52"/>
      <c r="U80" s="20"/>
      <c r="V80" s="25"/>
      <c r="W80" s="25"/>
    </row>
    <row r="81" ht="15.75" customHeight="1">
      <c r="A81" s="29"/>
      <c r="B81" s="16"/>
      <c r="C81" s="29"/>
      <c r="D81" s="29"/>
      <c r="E81" s="29"/>
      <c r="F81" s="29"/>
      <c r="G81" s="29"/>
      <c r="H81" s="41"/>
      <c r="I81" s="41"/>
      <c r="J81" s="51"/>
      <c r="K81" s="29"/>
      <c r="L81" s="29"/>
      <c r="M81" s="29"/>
      <c r="N81" s="29"/>
      <c r="O81" s="52"/>
      <c r="P81" s="52"/>
      <c r="Q81" s="47" t="str">
        <f>IFERROR(__xludf.DUMMYFUNCTION("IFS(F81&gt;26,""нет нормы"",C81="""","""",C81&lt;&gt;""МКД"",""нет нормы"",H81&lt;&gt;""Типовой"",""нет нормы"", AND(F81&lt;26,C81=""МКД""),ifs(FILTER('Нормативные показатели (рабочая'!O:O,'Нормативные показатели (рабочая'!K:K=C81,'Нормативные показатели (рабочая'!L:L=H81,"&amp;"'Нормативные показатели (рабочая'!N:N=""на ОРП"",'Нормативные показатели (рабочая'!M:M=""min"")&gt;O81,(-1) *(FILTER('Нормативные показатели (рабочая'!O:O,'Нормативные показатели (рабочая'!K:K=C81,'Нормативные показатели (рабочая'!L:L=H81,'Нормативные показа"&amp;"тели (рабочая'!N:N=""на ОРП"",'Нормативные показатели (рабочая'!M:M=""min"")-O81)/FILTER('Нормативные показатели (рабочая'!O:O,'Нормативные показатели (рабочая'!K:K=C81,'Нормативные показатели (рабочая'!L:L=H81,'Нормативные показатели (рабочая'!N:N=""на О"&amp;"РП"",'Нормативные показатели (рабочая'!M:M=""min""),AND(O81&gt;=FILTER('Нормативные показатели (рабочая'!O:O,'Нормативные показатели (рабочая'!K:K=C81,'Нормативные показатели (рабочая'!L:L=H81,'Нормативные показатели (рабочая'!N:N=""на ОРП"",'Нормативные пок"&amp;"азатели (рабочая'!M:M=""min""),O81&lt;=FILTER('Нормативные показатели (рабочая'!O:O,'Нормативные показатели (рабочая'!K:K=C81,'Нормативные показатели (рабочая'!L:L=H81,'Нормативные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(рабочая'!K:K=C81,'Нормативные показатели (рабочая'!L:L=H81,'Нормативные показатели (рабочая'!N:N=""на ОРП"",'Нормативные показатели (рабочая'!M:M=""max"")&lt;O81,(O81-FILTER"&amp;"('Нормативные показатели (рабочая'!O:O,'Нормативные показатели (рабочая'!K:K=C81,'Нормативные показатели (рабочая'!L:L=H81,'Нормативные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(рабочая'!K:K=C81,'Нормативные показатели (рабочая'!L:L=H81,'Нормативные показатели (рабочая'!N:N=""на ОРП"",'Нормативные показатели (рабочая'!M:M=""max"")))"),"")</f>
        <v/>
      </c>
      <c r="R81" s="53"/>
      <c r="S81" s="52"/>
      <c r="T81" s="52"/>
      <c r="U81" s="20"/>
      <c r="V81" s="25"/>
      <c r="W81" s="25"/>
    </row>
    <row r="82" ht="15.75" customHeight="1">
      <c r="A82" s="29"/>
      <c r="B82" s="16"/>
      <c r="C82" s="29"/>
      <c r="D82" s="29"/>
      <c r="E82" s="29"/>
      <c r="F82" s="29"/>
      <c r="G82" s="29"/>
      <c r="H82" s="41"/>
      <c r="I82" s="41"/>
      <c r="J82" s="51"/>
      <c r="K82" s="29"/>
      <c r="L82" s="29"/>
      <c r="M82" s="29"/>
      <c r="N82" s="29"/>
      <c r="O82" s="52"/>
      <c r="P82" s="52"/>
      <c r="Q82" s="47" t="str">
        <f>IFERROR(__xludf.DUMMYFUNCTION("IFS(F82&gt;26,""нет нормы"",C82="""","""",C82&lt;&gt;""МКД"",""нет нормы"",H82&lt;&gt;""Типовой"",""нет нормы"", AND(F82&lt;26,C82=""МКД""),ifs(FILTER('Нормативные показатели (рабочая'!O:O,'Нормативные показатели (рабочая'!K:K=C82,'Нормативные показатели (рабочая'!L:L=H82,"&amp;"'Нормативные показатели (рабочая'!N:N=""на ОРП"",'Нормативные показатели (рабочая'!M:M=""min"")&gt;O82,(-1) *(FILTER('Нормативные показатели (рабочая'!O:O,'Нормативные показатели (рабочая'!K:K=C82,'Нормативные показатели (рабочая'!L:L=H82,'Нормативные показа"&amp;"тели (рабочая'!N:N=""на ОРП"",'Нормативные показатели (рабочая'!M:M=""min"")-O82)/FILTER('Нормативные показатели (рабочая'!O:O,'Нормативные показатели (рабочая'!K:K=C82,'Нормативные показатели (рабочая'!L:L=H82,'Нормативные показатели (рабочая'!N:N=""на О"&amp;"РП"",'Нормативные показатели (рабочая'!M:M=""min""),AND(O82&gt;=FILTER('Нормативные показатели (рабочая'!O:O,'Нормативные показатели (рабочая'!K:K=C82,'Нормативные показатели (рабочая'!L:L=H82,'Нормативные показатели (рабочая'!N:N=""на ОРП"",'Нормативные пок"&amp;"азатели (рабочая'!M:M=""min""),O82&lt;=FILTER('Нормативные показатели (рабочая'!O:O,'Нормативные показатели (рабочая'!K:K=C82,'Нормативные показатели (рабочая'!L:L=H82,'Нормативные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(рабочая'!K:K=C82,'Нормативные показатели (рабочая'!L:L=H82,'Нормативные показатели (рабочая'!N:N=""на ОРП"",'Нормативные показатели (рабочая'!M:M=""max"")&lt;O82,(O82-FILTER"&amp;"('Нормативные показатели (рабочая'!O:O,'Нормативные показатели (рабочая'!K:K=C82,'Нормативные показатели (рабочая'!L:L=H82,'Нормативные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(рабочая'!K:K=C82,'Нормативные показатели (рабочая'!L:L=H82,'Нормативные показатели (рабочая'!N:N=""на ОРП"",'Нормативные показатели (рабочая'!M:M=""max"")))"),"")</f>
        <v/>
      </c>
      <c r="R82" s="53"/>
      <c r="S82" s="52"/>
      <c r="T82" s="52"/>
      <c r="U82" s="20"/>
      <c r="V82" s="25"/>
      <c r="W82" s="25"/>
    </row>
    <row r="83" ht="15.75" customHeight="1">
      <c r="A83" s="29"/>
      <c r="B83" s="16"/>
      <c r="C83" s="29"/>
      <c r="D83" s="29"/>
      <c r="E83" s="29"/>
      <c r="F83" s="29"/>
      <c r="G83" s="29"/>
      <c r="H83" s="41"/>
      <c r="I83" s="41"/>
      <c r="J83" s="51"/>
      <c r="K83" s="29"/>
      <c r="L83" s="29"/>
      <c r="M83" s="29"/>
      <c r="N83" s="29"/>
      <c r="O83" s="52"/>
      <c r="P83" s="52"/>
      <c r="Q83" s="47" t="str">
        <f>IFERROR(__xludf.DUMMYFUNCTION("IFS(F83&gt;26,""нет нормы"",C83="""","""",C83&lt;&gt;""МКД"",""нет нормы"",H83&lt;&gt;""Типовой"",""нет нормы"", AND(F83&lt;26,C83=""МКД""),ifs(FILTER('Нормативные показатели (рабочая'!O:O,'Нормативные показатели (рабочая'!K:K=C83,'Нормативные показатели (рабочая'!L:L=H83,"&amp;"'Нормативные показатели (рабочая'!N:N=""на ОРП"",'Нормативные показатели (рабочая'!M:M=""min"")&gt;O83,(-1) *(FILTER('Нормативные показатели (рабочая'!O:O,'Нормативные показатели (рабочая'!K:K=C83,'Нормативные показатели (рабочая'!L:L=H83,'Нормативные показа"&amp;"тели (рабочая'!N:N=""на ОРП"",'Нормативные показатели (рабочая'!M:M=""min"")-O83)/FILTER('Нормативные показатели (рабочая'!O:O,'Нормативные показатели (рабочая'!K:K=C83,'Нормативные показатели (рабочая'!L:L=H83,'Нормативные показатели (рабочая'!N:N=""на О"&amp;"РП"",'Нормативные показатели (рабочая'!M:M=""min""),AND(O83&gt;=FILTER('Нормативные показатели (рабочая'!O:O,'Нормативные показатели (рабочая'!K:K=C83,'Нормативные показатели (рабочая'!L:L=H83,'Нормативные показатели (рабочая'!N:N=""на ОРП"",'Нормативные пок"&amp;"азатели (рабочая'!M:M=""min""),O83&lt;=FILTER('Нормативные показатели (рабочая'!O:O,'Нормативные показатели (рабочая'!K:K=C83,'Нормативные показатели (рабочая'!L:L=H83,'Нормативные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(рабочая'!K:K=C83,'Нормативные показатели (рабочая'!L:L=H83,'Нормативные показатели (рабочая'!N:N=""на ОРП"",'Нормативные показатели (рабочая'!M:M=""max"")&lt;O83,(O83-FILTER"&amp;"('Нормативные показатели (рабочая'!O:O,'Нормативные показатели (рабочая'!K:K=C83,'Нормативные показатели (рабочая'!L:L=H83,'Нормативные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(рабочая'!K:K=C83,'Нормативные показатели (рабочая'!L:L=H83,'Нормативные показатели (рабочая'!N:N=""на ОРП"",'Нормативные показатели (рабочая'!M:M=""max"")))"),"")</f>
        <v/>
      </c>
      <c r="R83" s="53"/>
      <c r="S83" s="52"/>
      <c r="T83" s="52"/>
      <c r="U83" s="20"/>
      <c r="V83" s="25"/>
      <c r="W83" s="25"/>
    </row>
    <row r="84" ht="15.75" customHeight="1">
      <c r="A84" s="29"/>
      <c r="B84" s="16"/>
      <c r="C84" s="29"/>
      <c r="D84" s="29"/>
      <c r="E84" s="29"/>
      <c r="F84" s="29"/>
      <c r="G84" s="29"/>
      <c r="H84" s="41"/>
      <c r="I84" s="41"/>
      <c r="J84" s="51"/>
      <c r="K84" s="29"/>
      <c r="L84" s="29"/>
      <c r="M84" s="29"/>
      <c r="N84" s="29"/>
      <c r="O84" s="52"/>
      <c r="P84" s="52"/>
      <c r="Q84" s="47" t="str">
        <f>IFERROR(__xludf.DUMMYFUNCTION("IFS(F84&gt;26,""нет нормы"",C84="""","""",C84&lt;&gt;""МКД"",""нет нормы"",H84&lt;&gt;""Типовой"",""нет нормы"", AND(F84&lt;26,C84=""МКД""),ifs(FILTER('Нормативные показатели (рабочая'!O:O,'Нормативные показатели (рабочая'!K:K=C84,'Нормативные показатели (рабочая'!L:L=H84,"&amp;"'Нормативные показатели (рабочая'!N:N=""на ОРП"",'Нормативные показатели (рабочая'!M:M=""min"")&gt;O84,(-1) *(FILTER('Нормативные показатели (рабочая'!O:O,'Нормативные показатели (рабочая'!K:K=C84,'Нормативные показатели (рабочая'!L:L=H84,'Нормативные показа"&amp;"тели (рабочая'!N:N=""на ОРП"",'Нормативные показатели (рабочая'!M:M=""min"")-O84)/FILTER('Нормативные показатели (рабочая'!O:O,'Нормативные показатели (рабочая'!K:K=C84,'Нормативные показатели (рабочая'!L:L=H84,'Нормативные показатели (рабочая'!N:N=""на О"&amp;"РП"",'Нормативные показатели (рабочая'!M:M=""min""),AND(O84&gt;=FILTER('Нормативные показатели (рабочая'!O:O,'Нормативные показатели (рабочая'!K:K=C84,'Нормативные показатели (рабочая'!L:L=H84,'Нормативные показатели (рабочая'!N:N=""на ОРП"",'Нормативные пок"&amp;"азатели (рабочая'!M:M=""min""),O84&lt;=FILTER('Нормативные показатели (рабочая'!O:O,'Нормативные показатели (рабочая'!K:K=C84,'Нормативные показатели (рабочая'!L:L=H84,'Нормативные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(рабочая'!K:K=C84,'Нормативные показатели (рабочая'!L:L=H84,'Нормативные показатели (рабочая'!N:N=""на ОРП"",'Нормативные показатели (рабочая'!M:M=""max"")&lt;O84,(O84-FILTER"&amp;"('Нормативные показатели (рабочая'!O:O,'Нормативные показатели (рабочая'!K:K=C84,'Нормативные показатели (рабочая'!L:L=H84,'Нормативные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(рабочая'!K:K=C84,'Нормативные показатели (рабочая'!L:L=H84,'Нормативные показатели (рабочая'!N:N=""на ОРП"",'Нормативные показатели (рабочая'!M:M=""max"")))"),"")</f>
        <v/>
      </c>
      <c r="R84" s="53"/>
      <c r="S84" s="52"/>
      <c r="T84" s="52"/>
      <c r="U84" s="20"/>
      <c r="V84" s="25"/>
      <c r="W84" s="25"/>
    </row>
    <row r="85" ht="15.75" customHeight="1">
      <c r="A85" s="29"/>
      <c r="B85" s="16"/>
      <c r="C85" s="29"/>
      <c r="D85" s="29"/>
      <c r="E85" s="29"/>
      <c r="F85" s="29"/>
      <c r="G85" s="29"/>
      <c r="H85" s="41"/>
      <c r="I85" s="41"/>
      <c r="J85" s="51"/>
      <c r="K85" s="29"/>
      <c r="L85" s="29"/>
      <c r="M85" s="29"/>
      <c r="N85" s="29"/>
      <c r="O85" s="52"/>
      <c r="P85" s="52"/>
      <c r="Q85" s="47" t="str">
        <f>IFERROR(__xludf.DUMMYFUNCTION("IFS(F85&gt;26,""нет нормы"",C85="""","""",C85&lt;&gt;""МКД"",""нет нормы"",H85&lt;&gt;""Типовой"",""нет нормы"", AND(F85&lt;26,C85=""МКД""),ifs(FILTER('Нормативные показатели (рабочая'!O:O,'Нормативные показатели (рабочая'!K:K=C85,'Нормативные показатели (рабочая'!L:L=H85,"&amp;"'Нормативные показатели (рабочая'!N:N=""на ОРП"",'Нормативные показатели (рабочая'!M:M=""min"")&gt;O85,(-1) *(FILTER('Нормативные показатели (рабочая'!O:O,'Нормативные показатели (рабочая'!K:K=C85,'Нормативные показатели (рабочая'!L:L=H85,'Нормативные показа"&amp;"тели (рабочая'!N:N=""на ОРП"",'Нормативные показатели (рабочая'!M:M=""min"")-O85)/FILTER('Нормативные показатели (рабочая'!O:O,'Нормативные показатели (рабочая'!K:K=C85,'Нормативные показатели (рабочая'!L:L=H85,'Нормативные показатели (рабочая'!N:N=""на О"&amp;"РП"",'Нормативные показатели (рабочая'!M:M=""min""),AND(O85&gt;=FILTER('Нормативные показатели (рабочая'!O:O,'Нормативные показатели (рабочая'!K:K=C85,'Нормативные показатели (рабочая'!L:L=H85,'Нормативные показатели (рабочая'!N:N=""на ОРП"",'Нормативные пок"&amp;"азатели (рабочая'!M:M=""min""),O85&lt;=FILTER('Нормативные показатели (рабочая'!O:O,'Нормативные показатели (рабочая'!K:K=C85,'Нормативные показатели (рабочая'!L:L=H85,'Нормативные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(рабочая'!K:K=C85,'Нормативные показатели (рабочая'!L:L=H85,'Нормативные показатели (рабочая'!N:N=""на ОРП"",'Нормативные показатели (рабочая'!M:M=""max"")&lt;O85,(O85-FILTER"&amp;"('Нормативные показатели (рабочая'!O:O,'Нормативные показатели (рабочая'!K:K=C85,'Нормативные показатели (рабочая'!L:L=H85,'Нормативные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(рабочая'!K:K=C85,'Нормативные показатели (рабочая'!L:L=H85,'Нормативные показатели (рабочая'!N:N=""на ОРП"",'Нормативные показатели (рабочая'!M:M=""max"")))"),"")</f>
        <v/>
      </c>
      <c r="R85" s="53"/>
      <c r="S85" s="52"/>
      <c r="T85" s="52"/>
      <c r="U85" s="20"/>
      <c r="V85" s="25"/>
      <c r="W85" s="25"/>
    </row>
    <row r="86" ht="15.75" customHeight="1">
      <c r="A86" s="29"/>
      <c r="B86" s="16"/>
      <c r="C86" s="29"/>
      <c r="D86" s="29"/>
      <c r="E86" s="29"/>
      <c r="F86" s="29"/>
      <c r="G86" s="29"/>
      <c r="H86" s="41"/>
      <c r="I86" s="41"/>
      <c r="J86" s="51"/>
      <c r="K86" s="29"/>
      <c r="L86" s="29"/>
      <c r="M86" s="29"/>
      <c r="N86" s="29"/>
      <c r="O86" s="52"/>
      <c r="P86" s="52"/>
      <c r="Q86" s="47" t="str">
        <f>IFERROR(__xludf.DUMMYFUNCTION("IFS(F86&gt;26,""нет нормы"",C86="""","""",C86&lt;&gt;""МКД"",""нет нормы"",H86&lt;&gt;""Типовой"",""нет нормы"", AND(F86&lt;26,C86=""МКД""),ifs(FILTER('Нормативные показатели (рабочая'!O:O,'Нормативные показатели (рабочая'!K:K=C86,'Нормативные показатели (рабочая'!L:L=H86,"&amp;"'Нормативные показатели (рабочая'!N:N=""на ОРП"",'Нормативные показатели (рабочая'!M:M=""min"")&gt;O86,(-1) *(FILTER('Нормативные показатели (рабочая'!O:O,'Нормативные показатели (рабочая'!K:K=C86,'Нормативные показатели (рабочая'!L:L=H86,'Нормативные показа"&amp;"тели (рабочая'!N:N=""на ОРП"",'Нормативные показатели (рабочая'!M:M=""min"")-O86)/FILTER('Нормативные показатели (рабочая'!O:O,'Нормативные показатели (рабочая'!K:K=C86,'Нормативные показатели (рабочая'!L:L=H86,'Нормативные показатели (рабочая'!N:N=""на О"&amp;"РП"",'Нормативные показатели (рабочая'!M:M=""min""),AND(O86&gt;=FILTER('Нормативные показатели (рабочая'!O:O,'Нормативные показатели (рабочая'!K:K=C86,'Нормативные показатели (рабочая'!L:L=H86,'Нормативные показатели (рабочая'!N:N=""на ОРП"",'Нормативные пок"&amp;"азатели (рабочая'!M:M=""min""),O86&lt;=FILTER('Нормативные показатели (рабочая'!O:O,'Нормативные показатели (рабочая'!K:K=C86,'Нормативные показатели (рабочая'!L:L=H86,'Нормативные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(рабочая'!K:K=C86,'Нормативные показатели (рабочая'!L:L=H86,'Нормативные показатели (рабочая'!N:N=""на ОРП"",'Нормативные показатели (рабочая'!M:M=""max"")&lt;O86,(O86-FILTER"&amp;"('Нормативные показатели (рабочая'!O:O,'Нормативные показатели (рабочая'!K:K=C86,'Нормативные показатели (рабочая'!L:L=H86,'Нормативные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(рабочая'!K:K=C86,'Нормативные показатели (рабочая'!L:L=H86,'Нормативные показатели (рабочая'!N:N=""на ОРП"",'Нормативные показатели (рабочая'!M:M=""max"")))"),"")</f>
        <v/>
      </c>
      <c r="R86" s="53"/>
      <c r="S86" s="52"/>
      <c r="T86" s="52"/>
      <c r="U86" s="20"/>
      <c r="V86" s="25"/>
      <c r="W86" s="25"/>
    </row>
    <row r="87" ht="15.75" customHeight="1">
      <c r="A87" s="29"/>
      <c r="B87" s="16"/>
      <c r="C87" s="29"/>
      <c r="D87" s="29"/>
      <c r="E87" s="29"/>
      <c r="F87" s="29"/>
      <c r="G87" s="29"/>
      <c r="H87" s="41"/>
      <c r="I87" s="41"/>
      <c r="J87" s="51"/>
      <c r="K87" s="29"/>
      <c r="L87" s="29"/>
      <c r="M87" s="29"/>
      <c r="N87" s="29"/>
      <c r="O87" s="52"/>
      <c r="P87" s="52"/>
      <c r="Q87" s="47" t="str">
        <f>IFERROR(__xludf.DUMMYFUNCTION("IFS(F87&gt;26,""нет нормы"",C87="""","""",C87&lt;&gt;""МКД"",""нет нормы"",H87&lt;&gt;""Типовой"",""нет нормы"", AND(F87&lt;26,C87=""МКД""),ifs(FILTER('Нормативные показатели (рабочая'!O:O,'Нормативные показатели (рабочая'!K:K=C87,'Нормативные показатели (рабочая'!L:L=H87,"&amp;"'Нормативные показатели (рабочая'!N:N=""на ОРП"",'Нормативные показатели (рабочая'!M:M=""min"")&gt;O87,(-1) *(FILTER('Нормативные показатели (рабочая'!O:O,'Нормативные показатели (рабочая'!K:K=C87,'Нормативные показатели (рабочая'!L:L=H87,'Нормативные показа"&amp;"тели (рабочая'!N:N=""на ОРП"",'Нормативные показатели (рабочая'!M:M=""min"")-O87)/FILTER('Нормативные показатели (рабочая'!O:O,'Нормативные показатели (рабочая'!K:K=C87,'Нормативные показатели (рабочая'!L:L=H87,'Нормативные показатели (рабочая'!N:N=""на О"&amp;"РП"",'Нормативные показатели (рабочая'!M:M=""min""),AND(O87&gt;=FILTER('Нормативные показатели (рабочая'!O:O,'Нормативные показатели (рабочая'!K:K=C87,'Нормативные показатели (рабочая'!L:L=H87,'Нормативные показатели (рабочая'!N:N=""на ОРП"",'Нормативные пок"&amp;"азатели (рабочая'!M:M=""min""),O87&lt;=FILTER('Нормативные показатели (рабочая'!O:O,'Нормативные показатели (рабочая'!K:K=C87,'Нормативные показатели (рабочая'!L:L=H87,'Нормативные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(рабочая'!K:K=C87,'Нормативные показатели (рабочая'!L:L=H87,'Нормативные показатели (рабочая'!N:N=""на ОРП"",'Нормативные показатели (рабочая'!M:M=""max"")&lt;O87,(O87-FILTER"&amp;"('Нормативные показатели (рабочая'!O:O,'Нормативные показатели (рабочая'!K:K=C87,'Нормативные показатели (рабочая'!L:L=H87,'Нормативные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(рабочая'!K:K=C87,'Нормативные показатели (рабочая'!L:L=H87,'Нормативные показатели (рабочая'!N:N=""на ОРП"",'Нормативные показатели (рабочая'!M:M=""max"")))"),"")</f>
        <v/>
      </c>
      <c r="R87" s="53"/>
      <c r="S87" s="52"/>
      <c r="T87" s="52"/>
      <c r="U87" s="20"/>
      <c r="V87" s="54"/>
      <c r="W87" s="54"/>
    </row>
    <row r="88" ht="15.75" customHeight="1">
      <c r="A88" s="29"/>
      <c r="B88" s="16"/>
      <c r="C88" s="29"/>
      <c r="D88" s="29"/>
      <c r="E88" s="29"/>
      <c r="F88" s="29"/>
      <c r="G88" s="29"/>
      <c r="H88" s="41"/>
      <c r="I88" s="41"/>
      <c r="J88" s="51"/>
      <c r="K88" s="29"/>
      <c r="L88" s="29"/>
      <c r="M88" s="29"/>
      <c r="N88" s="29"/>
      <c r="O88" s="52"/>
      <c r="P88" s="52"/>
      <c r="Q88" s="47" t="str">
        <f>IFERROR(__xludf.DUMMYFUNCTION("IFS(F88&gt;26,""нет нормы"",C88="""","""",C88&lt;&gt;""МКД"",""нет нормы"",H88&lt;&gt;""Типовой"",""нет нормы"", AND(F88&lt;26,C88=""МКД""),ifs(FILTER('Нормативные показатели (рабочая'!O:O,'Нормативные показатели (рабочая'!K:K=C88,'Нормативные показатели (рабочая'!L:L=H88,"&amp;"'Нормативные показатели (рабочая'!N:N=""на ОРП"",'Нормативные показатели (рабочая'!M:M=""min"")&gt;O88,(-1) *(FILTER('Нормативные показатели (рабочая'!O:O,'Нормативные показатели (рабочая'!K:K=C88,'Нормативные показатели (рабочая'!L:L=H88,'Нормативные показа"&amp;"тели (рабочая'!N:N=""на ОРП"",'Нормативные показатели (рабочая'!M:M=""min"")-O88)/FILTER('Нормативные показатели (рабочая'!O:O,'Нормативные показатели (рабочая'!K:K=C88,'Нормативные показатели (рабочая'!L:L=H88,'Нормативные показатели (рабочая'!N:N=""на О"&amp;"РП"",'Нормативные показатели (рабочая'!M:M=""min""),AND(O88&gt;=FILTER('Нормативные показатели (рабочая'!O:O,'Нормативные показатели (рабочая'!K:K=C88,'Нормативные показатели (рабочая'!L:L=H88,'Нормативные показатели (рабочая'!N:N=""на ОРП"",'Нормативные пок"&amp;"азатели (рабочая'!M:M=""min""),O88&lt;=FILTER('Нормативные показатели (рабочая'!O:O,'Нормативные показатели (рабочая'!K:K=C88,'Нормативные показатели (рабочая'!L:L=H88,'Нормативные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(рабочая'!K:K=C88,'Нормативные показатели (рабочая'!L:L=H88,'Нормативные показатели (рабочая'!N:N=""на ОРП"",'Нормативные показатели (рабочая'!M:M=""max"")&lt;O88,(O88-FILTER"&amp;"('Нормативные показатели (рабочая'!O:O,'Нормативные показатели (рабочая'!K:K=C88,'Нормативные показатели (рабочая'!L:L=H88,'Нормативные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(рабочая'!K:K=C88,'Нормативные показатели (рабочая'!L:L=H88,'Нормативные показатели (рабочая'!N:N=""на ОРП"",'Нормативные показатели (рабочая'!M:M=""max"")))"),"")</f>
        <v/>
      </c>
      <c r="R88" s="53"/>
      <c r="S88" s="52"/>
      <c r="T88" s="52"/>
      <c r="U88" s="20"/>
      <c r="V88" s="54"/>
      <c r="W88" s="54"/>
    </row>
    <row r="89" ht="15.75" customHeight="1">
      <c r="A89" s="29"/>
      <c r="B89" s="16"/>
      <c r="C89" s="29"/>
      <c r="D89" s="29"/>
      <c r="E89" s="29"/>
      <c r="F89" s="29"/>
      <c r="G89" s="29"/>
      <c r="H89" s="41"/>
      <c r="I89" s="41"/>
      <c r="J89" s="51"/>
      <c r="K89" s="29"/>
      <c r="L89" s="29"/>
      <c r="M89" s="29"/>
      <c r="N89" s="29"/>
      <c r="O89" s="52"/>
      <c r="P89" s="52"/>
      <c r="Q89" s="47" t="str">
        <f>IFERROR(__xludf.DUMMYFUNCTION("IFS(F89&gt;26,""нет нормы"",C89="""","""",C89&lt;&gt;""МКД"",""нет нормы"",H89&lt;&gt;""Типовой"",""нет нормы"", AND(F89&lt;26,C89=""МКД""),ifs(FILTER('Нормативные показатели (рабочая'!O:O,'Нормативные показатели (рабочая'!K:K=C89,'Нормативные показатели (рабочая'!L:L=H89,"&amp;"'Нормативные показатели (рабочая'!N:N=""на ОРП"",'Нормативные показатели (рабочая'!M:M=""min"")&gt;O89,(-1) *(FILTER('Нормативные показатели (рабочая'!O:O,'Нормативные показатели (рабочая'!K:K=C89,'Нормативные показатели (рабочая'!L:L=H89,'Нормативные показа"&amp;"тели (рабочая'!N:N=""на ОРП"",'Нормативные показатели (рабочая'!M:M=""min"")-O89)/FILTER('Нормативные показатели (рабочая'!O:O,'Нормативные показатели (рабочая'!K:K=C89,'Нормативные показатели (рабочая'!L:L=H89,'Нормативные показатели (рабочая'!N:N=""на О"&amp;"РП"",'Нормативные показатели (рабочая'!M:M=""min""),AND(O89&gt;=FILTER('Нормативные показатели (рабочая'!O:O,'Нормативные показатели (рабочая'!K:K=C89,'Нормативные показатели (рабочая'!L:L=H89,'Нормативные показатели (рабочая'!N:N=""на ОРП"",'Нормативные пок"&amp;"азатели (рабочая'!M:M=""min""),O89&lt;=FILTER('Нормативные показатели (рабочая'!O:O,'Нормативные показатели (рабочая'!K:K=C89,'Нормативные показатели (рабочая'!L:L=H89,'Нормативные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(рабочая'!K:K=C89,'Нормативные показатели (рабочая'!L:L=H89,'Нормативные показатели (рабочая'!N:N=""на ОРП"",'Нормативные показатели (рабочая'!M:M=""max"")&lt;O89,(O89-FILTER"&amp;"('Нормативные показатели (рабочая'!O:O,'Нормативные показатели (рабочая'!K:K=C89,'Нормативные показатели (рабочая'!L:L=H89,'Нормативные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(рабочая'!K:K=C89,'Нормативные показатели (рабочая'!L:L=H89,'Нормативные показатели (рабочая'!N:N=""на ОРП"",'Нормативные показатели (рабочая'!M:M=""max"")))"),"")</f>
        <v/>
      </c>
      <c r="R89" s="53"/>
      <c r="S89" s="52"/>
      <c r="T89" s="52"/>
      <c r="U89" s="20"/>
      <c r="V89" s="54"/>
      <c r="W89" s="54"/>
    </row>
    <row r="90" ht="15.75" customHeight="1">
      <c r="A90" s="29"/>
      <c r="B90" s="16"/>
      <c r="C90" s="29"/>
      <c r="D90" s="29"/>
      <c r="E90" s="29"/>
      <c r="F90" s="29"/>
      <c r="G90" s="29"/>
      <c r="H90" s="41"/>
      <c r="I90" s="41"/>
      <c r="J90" s="51"/>
      <c r="K90" s="29"/>
      <c r="L90" s="29"/>
      <c r="M90" s="29"/>
      <c r="N90" s="29"/>
      <c r="O90" s="52"/>
      <c r="P90" s="52"/>
      <c r="Q90" s="47" t="str">
        <f>IFERROR(__xludf.DUMMYFUNCTION("IFS(F90&gt;26,""нет нормы"",C90="""","""",C90&lt;&gt;""МКД"",""нет нормы"",H90&lt;&gt;""Типовой"",""нет нормы"", AND(F90&lt;26,C90=""МКД""),ifs(FILTER('Нормативные показатели (рабочая'!O:O,'Нормативные показатели (рабочая'!K:K=C90,'Нормативные показатели (рабочая'!L:L=H90,"&amp;"'Нормативные показатели (рабочая'!N:N=""на ОРП"",'Нормативные показатели (рабочая'!M:M=""min"")&gt;O90,(-1) *(FILTER('Нормативные показатели (рабочая'!O:O,'Нормативные показатели (рабочая'!K:K=C90,'Нормативные показатели (рабочая'!L:L=H90,'Нормативные показа"&amp;"тели (рабочая'!N:N=""на ОРП"",'Нормативные показатели (рабочая'!M:M=""min"")-O90)/FILTER('Нормативные показатели (рабочая'!O:O,'Нормативные показатели (рабочая'!K:K=C90,'Нормативные показатели (рабочая'!L:L=H90,'Нормативные показатели (рабочая'!N:N=""на О"&amp;"РП"",'Нормативные показатели (рабочая'!M:M=""min""),AND(O90&gt;=FILTER('Нормативные показатели (рабочая'!O:O,'Нормативные показатели (рабочая'!K:K=C90,'Нормативные показатели (рабочая'!L:L=H90,'Нормативные показатели (рабочая'!N:N=""на ОРП"",'Нормативные пок"&amp;"азатели (рабочая'!M:M=""min""),O90&lt;=FILTER('Нормативные показатели (рабочая'!O:O,'Нормативные показатели (рабочая'!K:K=C90,'Нормативные показатели (рабочая'!L:L=H90,'Нормативные показатели (рабочая'!N:N=""на ОРП"",'Нормативные показатели (рабочая'!M:M=""m"&amp;"ax"")),""нет"",FILTER('Нормативные показатели (рабочая'!O:O,'Нормативные показатели (рабочая'!K:K=C90,'Нормативные показатели (рабочая'!L:L=H90,'Нормативные показатели (рабочая'!N:N=""на ОРП"",'Нормативные показатели (рабочая'!M:M=""max"")&lt;O90,(O90-FILTER"&amp;"('Нормативные показатели (рабочая'!O:O,'Нормативные показатели (рабочая'!K:K=C90,'Нормативные показатели (рабочая'!L:L=H90,'Нормативные показатели (рабочая'!N:N=""на ОРП"",'Нормативные показатели (рабочая'!M:M=""max""))/FILTER('Нормативные показатели (раб"&amp;"очая'!O:O,'Нормативные показатели (рабочая'!K:K=C90,'Нормативные показатели (рабочая'!L:L=H90,'Нормативные показатели (рабочая'!N:N=""на ОРП"",'Нормативные показатели (рабочая'!M:M=""max"")))"),"")</f>
        <v/>
      </c>
      <c r="R90" s="53"/>
      <c r="S90" s="52"/>
      <c r="T90" s="52"/>
      <c r="U90" s="20"/>
      <c r="V90" s="54"/>
      <c r="W90" s="54"/>
    </row>
    <row r="91" ht="15.75" customHeight="1">
      <c r="A91" s="29"/>
      <c r="B91" s="16"/>
      <c r="C91" s="29"/>
      <c r="D91" s="29"/>
      <c r="E91" s="29"/>
      <c r="F91" s="29"/>
      <c r="G91" s="29"/>
      <c r="H91" s="41"/>
      <c r="I91" s="41"/>
      <c r="J91" s="51"/>
      <c r="K91" s="29"/>
      <c r="L91" s="29"/>
      <c r="M91" s="29"/>
      <c r="N91" s="29"/>
      <c r="O91" s="52"/>
      <c r="P91" s="52"/>
      <c r="Q91" s="52"/>
      <c r="R91" s="53"/>
      <c r="S91" s="52"/>
      <c r="T91" s="52"/>
      <c r="U91" s="20"/>
      <c r="V91" s="54"/>
      <c r="W91" s="54"/>
    </row>
    <row r="92" ht="15.75" customHeight="1">
      <c r="A92" s="29"/>
      <c r="B92" s="16"/>
      <c r="C92" s="29"/>
      <c r="D92" s="29"/>
      <c r="E92" s="29"/>
      <c r="F92" s="29"/>
      <c r="G92" s="29"/>
      <c r="H92" s="41"/>
      <c r="I92" s="41"/>
      <c r="J92" s="51"/>
      <c r="K92" s="29"/>
      <c r="L92" s="29"/>
      <c r="M92" s="29"/>
      <c r="N92" s="29"/>
      <c r="O92" s="52"/>
      <c r="P92" s="52"/>
      <c r="Q92" s="52"/>
      <c r="R92" s="53"/>
      <c r="S92" s="52"/>
      <c r="T92" s="52"/>
      <c r="U92" s="20"/>
      <c r="V92" s="54"/>
      <c r="W92" s="54"/>
    </row>
    <row r="93" ht="15.75" customHeight="1">
      <c r="A93" s="29"/>
      <c r="B93" s="16"/>
      <c r="C93" s="29"/>
      <c r="D93" s="29"/>
      <c r="E93" s="29"/>
      <c r="F93" s="29"/>
      <c r="G93" s="29"/>
      <c r="H93" s="41"/>
      <c r="I93" s="41"/>
      <c r="J93" s="51"/>
      <c r="K93" s="29"/>
      <c r="L93" s="29"/>
      <c r="M93" s="29"/>
      <c r="N93" s="29"/>
      <c r="O93" s="52"/>
      <c r="P93" s="52"/>
      <c r="Q93" s="52"/>
      <c r="R93" s="53"/>
      <c r="S93" s="52"/>
      <c r="T93" s="52"/>
      <c r="U93" s="20"/>
      <c r="V93" s="54"/>
      <c r="W93" s="54"/>
    </row>
    <row r="94" ht="15.75" customHeight="1">
      <c r="A94" s="29"/>
      <c r="B94" s="16"/>
      <c r="C94" s="29"/>
      <c r="D94" s="29"/>
      <c r="E94" s="29"/>
      <c r="F94" s="29"/>
      <c r="G94" s="29"/>
      <c r="H94" s="41"/>
      <c r="I94" s="41"/>
      <c r="J94" s="51"/>
      <c r="K94" s="29"/>
      <c r="L94" s="29"/>
      <c r="M94" s="29"/>
      <c r="N94" s="29"/>
      <c r="O94" s="52"/>
      <c r="P94" s="52"/>
      <c r="Q94" s="52"/>
      <c r="R94" s="53"/>
      <c r="S94" s="52"/>
      <c r="T94" s="52"/>
      <c r="U94" s="20"/>
      <c r="V94" s="54"/>
      <c r="W94" s="54"/>
    </row>
    <row r="95" ht="15.75" customHeight="1">
      <c r="A95" s="29"/>
      <c r="B95" s="16"/>
      <c r="C95" s="29"/>
      <c r="D95" s="29"/>
      <c r="E95" s="29"/>
      <c r="F95" s="29"/>
      <c r="G95" s="29"/>
      <c r="H95" s="41"/>
      <c r="I95" s="41"/>
      <c r="J95" s="51"/>
      <c r="K95" s="29"/>
      <c r="L95" s="29"/>
      <c r="M95" s="29"/>
      <c r="N95" s="29"/>
      <c r="O95" s="52"/>
      <c r="P95" s="52"/>
      <c r="Q95" s="52"/>
      <c r="R95" s="53"/>
      <c r="S95" s="52"/>
      <c r="T95" s="52"/>
      <c r="U95" s="20"/>
      <c r="V95" s="54"/>
      <c r="W95" s="54"/>
    </row>
    <row r="96" ht="15.75" customHeight="1">
      <c r="A96" s="29"/>
      <c r="B96" s="16"/>
      <c r="C96" s="29"/>
      <c r="D96" s="29"/>
      <c r="E96" s="29"/>
      <c r="F96" s="29"/>
      <c r="G96" s="29"/>
      <c r="H96" s="41"/>
      <c r="I96" s="41"/>
      <c r="J96" s="51"/>
      <c r="K96" s="29"/>
      <c r="L96" s="29"/>
      <c r="M96" s="29"/>
      <c r="N96" s="29"/>
      <c r="O96" s="52"/>
      <c r="P96" s="52"/>
      <c r="Q96" s="52"/>
      <c r="R96" s="53"/>
      <c r="S96" s="52"/>
      <c r="T96" s="52"/>
      <c r="U96" s="20"/>
      <c r="V96" s="54"/>
      <c r="W96" s="54"/>
    </row>
    <row r="97" ht="15.75" customHeight="1">
      <c r="A97" s="29"/>
      <c r="B97" s="16"/>
      <c r="C97" s="29"/>
      <c r="D97" s="29"/>
      <c r="E97" s="29"/>
      <c r="F97" s="29"/>
      <c r="G97" s="29"/>
      <c r="H97" s="41"/>
      <c r="I97" s="41"/>
      <c r="J97" s="51"/>
      <c r="K97" s="29"/>
      <c r="L97" s="29"/>
      <c r="M97" s="29"/>
      <c r="N97" s="29"/>
      <c r="O97" s="52"/>
      <c r="P97" s="52"/>
      <c r="Q97" s="52"/>
      <c r="R97" s="53"/>
      <c r="S97" s="52"/>
      <c r="T97" s="52"/>
      <c r="U97" s="20"/>
      <c r="V97" s="54"/>
      <c r="W97" s="54"/>
    </row>
    <row r="98" ht="15.75" customHeight="1">
      <c r="A98" s="29"/>
      <c r="B98" s="16"/>
      <c r="C98" s="29"/>
      <c r="D98" s="29"/>
      <c r="E98" s="29"/>
      <c r="F98" s="29"/>
      <c r="G98" s="29"/>
      <c r="H98" s="41"/>
      <c r="I98" s="41"/>
      <c r="J98" s="51"/>
      <c r="K98" s="29"/>
      <c r="L98" s="29"/>
      <c r="M98" s="29"/>
      <c r="N98" s="29"/>
      <c r="O98" s="52"/>
      <c r="P98" s="52"/>
      <c r="Q98" s="52"/>
      <c r="R98" s="53"/>
      <c r="S98" s="52"/>
      <c r="T98" s="52"/>
      <c r="U98" s="20"/>
      <c r="V98" s="54"/>
      <c r="W98" s="54"/>
    </row>
    <row r="99" ht="15.75" customHeight="1">
      <c r="A99" s="29"/>
      <c r="B99" s="16"/>
      <c r="C99" s="29"/>
      <c r="D99" s="29"/>
      <c r="E99" s="29"/>
      <c r="F99" s="29"/>
      <c r="G99" s="29"/>
      <c r="H99" s="41"/>
      <c r="I99" s="41"/>
      <c r="J99" s="51"/>
      <c r="K99" s="29"/>
      <c r="L99" s="29"/>
      <c r="M99" s="29"/>
      <c r="N99" s="29"/>
      <c r="O99" s="52"/>
      <c r="P99" s="52"/>
      <c r="Q99" s="52"/>
      <c r="R99" s="53"/>
      <c r="S99" s="52"/>
      <c r="T99" s="52"/>
      <c r="U99" s="20"/>
      <c r="V99" s="54"/>
      <c r="W99" s="54"/>
    </row>
    <row r="100" ht="15.75" customHeight="1">
      <c r="A100" s="29"/>
      <c r="B100" s="16"/>
      <c r="C100" s="29"/>
      <c r="D100" s="29"/>
      <c r="E100" s="29"/>
      <c r="F100" s="29"/>
      <c r="G100" s="29"/>
      <c r="H100" s="41"/>
      <c r="I100" s="41"/>
      <c r="J100" s="51"/>
      <c r="K100" s="29"/>
      <c r="L100" s="29"/>
      <c r="M100" s="29"/>
      <c r="N100" s="29"/>
      <c r="O100" s="52"/>
      <c r="P100" s="52"/>
      <c r="Q100" s="52"/>
      <c r="R100" s="53"/>
      <c r="S100" s="52"/>
      <c r="T100" s="52"/>
      <c r="U100" s="20"/>
      <c r="V100" s="54"/>
      <c r="W100" s="54"/>
    </row>
    <row r="101" ht="15.75" customHeight="1">
      <c r="A101" s="29"/>
      <c r="B101" s="16"/>
      <c r="C101" s="29"/>
      <c r="D101" s="29"/>
      <c r="E101" s="29"/>
      <c r="F101" s="29"/>
      <c r="G101" s="29"/>
      <c r="H101" s="41"/>
      <c r="I101" s="41"/>
      <c r="J101" s="51"/>
      <c r="K101" s="29"/>
      <c r="L101" s="29"/>
      <c r="M101" s="29"/>
      <c r="N101" s="29"/>
      <c r="O101" s="52"/>
      <c r="P101" s="52"/>
      <c r="Q101" s="52"/>
      <c r="R101" s="53"/>
      <c r="S101" s="52"/>
      <c r="T101" s="52"/>
      <c r="U101" s="20"/>
      <c r="V101" s="54"/>
      <c r="W101" s="54"/>
    </row>
    <row r="102" ht="15.75" customHeight="1">
      <c r="A102" s="29"/>
      <c r="B102" s="16"/>
      <c r="C102" s="29"/>
      <c r="D102" s="29"/>
      <c r="E102" s="29"/>
      <c r="F102" s="29"/>
      <c r="G102" s="29"/>
      <c r="H102" s="41"/>
      <c r="I102" s="41"/>
      <c r="J102" s="51"/>
      <c r="K102" s="29"/>
      <c r="L102" s="29"/>
      <c r="M102" s="29"/>
      <c r="N102" s="29"/>
      <c r="O102" s="52"/>
      <c r="P102" s="52"/>
      <c r="Q102" s="52"/>
      <c r="R102" s="53"/>
      <c r="S102" s="52"/>
      <c r="T102" s="52"/>
      <c r="U102" s="20"/>
      <c r="V102" s="54"/>
      <c r="W102" s="54"/>
    </row>
    <row r="103" ht="15.75" customHeight="1">
      <c r="A103" s="29"/>
      <c r="B103" s="16"/>
      <c r="C103" s="29"/>
      <c r="D103" s="29"/>
      <c r="E103" s="29"/>
      <c r="F103" s="29"/>
      <c r="G103" s="29"/>
      <c r="H103" s="41"/>
      <c r="I103" s="41"/>
      <c r="J103" s="51"/>
      <c r="K103" s="29"/>
      <c r="L103" s="29"/>
      <c r="M103" s="29"/>
      <c r="N103" s="29"/>
      <c r="O103" s="52"/>
      <c r="P103" s="52"/>
      <c r="Q103" s="52"/>
      <c r="R103" s="53"/>
      <c r="S103" s="52"/>
      <c r="T103" s="52"/>
      <c r="U103" s="20"/>
      <c r="V103" s="54"/>
      <c r="W103" s="54"/>
    </row>
    <row r="104" ht="15.75" customHeight="1">
      <c r="A104" s="29"/>
      <c r="B104" s="16"/>
      <c r="C104" s="29"/>
      <c r="D104" s="29"/>
      <c r="E104" s="29"/>
      <c r="F104" s="29"/>
      <c r="G104" s="29"/>
      <c r="H104" s="41"/>
      <c r="I104" s="41"/>
      <c r="J104" s="51"/>
      <c r="K104" s="29"/>
      <c r="L104" s="29"/>
      <c r="M104" s="29"/>
      <c r="N104" s="29"/>
      <c r="O104" s="52"/>
      <c r="P104" s="52"/>
      <c r="Q104" s="52"/>
      <c r="R104" s="53"/>
      <c r="S104" s="52"/>
      <c r="T104" s="52"/>
      <c r="U104" s="20"/>
      <c r="V104" s="54"/>
      <c r="W104" s="54"/>
    </row>
    <row r="105" ht="15.75" customHeight="1">
      <c r="A105" s="29"/>
      <c r="B105" s="16"/>
      <c r="C105" s="29"/>
      <c r="D105" s="29"/>
      <c r="E105" s="29"/>
      <c r="F105" s="29"/>
      <c r="G105" s="29"/>
      <c r="H105" s="41"/>
      <c r="I105" s="41"/>
      <c r="J105" s="51"/>
      <c r="K105" s="29"/>
      <c r="L105" s="29"/>
      <c r="M105" s="29"/>
      <c r="N105" s="29"/>
      <c r="O105" s="52"/>
      <c r="P105" s="52"/>
      <c r="Q105" s="52"/>
      <c r="R105" s="53"/>
      <c r="S105" s="52"/>
      <c r="T105" s="52"/>
      <c r="U105" s="20"/>
      <c r="V105" s="54"/>
      <c r="W105" s="54"/>
    </row>
    <row r="106" ht="15.75" customHeight="1">
      <c r="A106" s="29"/>
      <c r="B106" s="16"/>
      <c r="C106" s="29"/>
      <c r="D106" s="29"/>
      <c r="E106" s="29"/>
      <c r="F106" s="29"/>
      <c r="G106" s="29"/>
      <c r="H106" s="41"/>
      <c r="I106" s="41"/>
      <c r="J106" s="51"/>
      <c r="K106" s="29"/>
      <c r="L106" s="29"/>
      <c r="M106" s="29"/>
      <c r="N106" s="29"/>
      <c r="O106" s="52"/>
      <c r="P106" s="52"/>
      <c r="Q106" s="52"/>
      <c r="R106" s="53"/>
      <c r="S106" s="52"/>
      <c r="T106" s="52"/>
      <c r="U106" s="20"/>
      <c r="V106" s="54"/>
      <c r="W106" s="54"/>
    </row>
    <row r="107" ht="15.75" customHeight="1">
      <c r="A107" s="29"/>
      <c r="B107" s="16"/>
      <c r="C107" s="29"/>
      <c r="D107" s="29"/>
      <c r="E107" s="29"/>
      <c r="F107" s="29"/>
      <c r="G107" s="29"/>
      <c r="H107" s="41"/>
      <c r="I107" s="41"/>
      <c r="J107" s="51"/>
      <c r="K107" s="29"/>
      <c r="L107" s="29"/>
      <c r="M107" s="29"/>
      <c r="N107" s="29"/>
      <c r="O107" s="52"/>
      <c r="P107" s="52"/>
      <c r="Q107" s="52"/>
      <c r="R107" s="53"/>
      <c r="S107" s="52"/>
      <c r="T107" s="52"/>
      <c r="U107" s="20"/>
      <c r="V107" s="54"/>
      <c r="W107" s="54"/>
    </row>
    <row r="108" ht="15.75" customHeight="1">
      <c r="A108" s="29"/>
      <c r="B108" s="16"/>
      <c r="C108" s="29"/>
      <c r="D108" s="29"/>
      <c r="E108" s="29"/>
      <c r="F108" s="29"/>
      <c r="G108" s="29"/>
      <c r="H108" s="41"/>
      <c r="I108" s="41"/>
      <c r="J108" s="51"/>
      <c r="K108" s="29"/>
      <c r="L108" s="29"/>
      <c r="M108" s="29"/>
      <c r="N108" s="29"/>
      <c r="O108" s="52"/>
      <c r="P108" s="52"/>
      <c r="Q108" s="52"/>
      <c r="R108" s="53"/>
      <c r="S108" s="52"/>
      <c r="T108" s="52"/>
      <c r="U108" s="20"/>
      <c r="V108" s="54"/>
      <c r="W108" s="54"/>
    </row>
    <row r="109" ht="15.75" customHeight="1">
      <c r="A109" s="29"/>
      <c r="B109" s="16"/>
      <c r="C109" s="29"/>
      <c r="D109" s="29"/>
      <c r="E109" s="29"/>
      <c r="F109" s="29"/>
      <c r="G109" s="29"/>
      <c r="H109" s="41"/>
      <c r="I109" s="41"/>
      <c r="J109" s="51"/>
      <c r="K109" s="29"/>
      <c r="L109" s="29"/>
      <c r="M109" s="29"/>
      <c r="N109" s="29"/>
      <c r="O109" s="52"/>
      <c r="P109" s="52"/>
      <c r="Q109" s="52"/>
      <c r="R109" s="53"/>
      <c r="S109" s="52"/>
      <c r="T109" s="52"/>
      <c r="U109" s="20"/>
      <c r="V109" s="54"/>
      <c r="W109" s="54"/>
    </row>
    <row r="110" ht="15.75" customHeight="1">
      <c r="A110" s="29"/>
      <c r="B110" s="16"/>
      <c r="C110" s="29"/>
      <c r="D110" s="29"/>
      <c r="E110" s="29"/>
      <c r="F110" s="29"/>
      <c r="G110" s="29"/>
      <c r="H110" s="41"/>
      <c r="I110" s="41"/>
      <c r="J110" s="51"/>
      <c r="K110" s="29"/>
      <c r="L110" s="29"/>
      <c r="M110" s="29"/>
      <c r="N110" s="29"/>
      <c r="O110" s="52"/>
      <c r="P110" s="52"/>
      <c r="Q110" s="52"/>
      <c r="R110" s="53"/>
      <c r="S110" s="52"/>
      <c r="T110" s="52"/>
      <c r="U110" s="20"/>
      <c r="V110" s="54"/>
      <c r="W110" s="54"/>
    </row>
    <row r="111" ht="15.75" customHeight="1">
      <c r="A111" s="29"/>
      <c r="B111" s="16"/>
      <c r="C111" s="29"/>
      <c r="D111" s="29"/>
      <c r="E111" s="29"/>
      <c r="F111" s="29"/>
      <c r="G111" s="29"/>
      <c r="H111" s="41"/>
      <c r="I111" s="41"/>
      <c r="J111" s="51"/>
      <c r="K111" s="29"/>
      <c r="L111" s="29"/>
      <c r="M111" s="29"/>
      <c r="N111" s="29"/>
      <c r="O111" s="52"/>
      <c r="P111" s="52"/>
      <c r="Q111" s="52"/>
      <c r="R111" s="53"/>
      <c r="S111" s="52"/>
      <c r="T111" s="52"/>
      <c r="U111" s="20"/>
      <c r="V111" s="54"/>
      <c r="W111" s="54"/>
    </row>
    <row r="112" ht="15.75" customHeight="1">
      <c r="A112" s="29"/>
      <c r="B112" s="16"/>
      <c r="C112" s="29"/>
      <c r="D112" s="29"/>
      <c r="E112" s="29"/>
      <c r="F112" s="29"/>
      <c r="G112" s="29"/>
      <c r="H112" s="41"/>
      <c r="I112" s="41"/>
      <c r="J112" s="51"/>
      <c r="K112" s="29"/>
      <c r="L112" s="29"/>
      <c r="M112" s="29"/>
      <c r="N112" s="29"/>
      <c r="O112" s="52"/>
      <c r="P112" s="52"/>
      <c r="Q112" s="52"/>
      <c r="R112" s="53"/>
      <c r="S112" s="52"/>
      <c r="T112" s="52"/>
      <c r="U112" s="20"/>
      <c r="V112" s="54"/>
      <c r="W112" s="54"/>
    </row>
    <row r="113" ht="15.75" customHeight="1">
      <c r="A113" s="29"/>
      <c r="B113" s="16"/>
      <c r="C113" s="29"/>
      <c r="D113" s="29"/>
      <c r="E113" s="29"/>
      <c r="F113" s="29"/>
      <c r="G113" s="29"/>
      <c r="H113" s="41"/>
      <c r="I113" s="41"/>
      <c r="J113" s="51"/>
      <c r="K113" s="29"/>
      <c r="L113" s="29"/>
      <c r="M113" s="29"/>
      <c r="N113" s="29"/>
      <c r="O113" s="52"/>
      <c r="P113" s="52"/>
      <c r="Q113" s="52"/>
      <c r="R113" s="53"/>
      <c r="S113" s="52"/>
      <c r="T113" s="52"/>
      <c r="U113" s="20"/>
      <c r="V113" s="54"/>
      <c r="W113" s="54"/>
    </row>
    <row r="114" ht="15.75" customHeight="1">
      <c r="A114" s="29"/>
      <c r="B114" s="16"/>
      <c r="C114" s="29"/>
      <c r="D114" s="29"/>
      <c r="E114" s="29"/>
      <c r="F114" s="29"/>
      <c r="G114" s="29"/>
      <c r="H114" s="41"/>
      <c r="I114" s="41"/>
      <c r="J114" s="51"/>
      <c r="K114" s="29"/>
      <c r="L114" s="29"/>
      <c r="M114" s="29"/>
      <c r="N114" s="29"/>
      <c r="O114" s="52"/>
      <c r="P114" s="52"/>
      <c r="Q114" s="52"/>
      <c r="R114" s="53"/>
      <c r="S114" s="52"/>
      <c r="T114" s="52"/>
      <c r="U114" s="20"/>
      <c r="V114" s="54"/>
      <c r="W114" s="54"/>
    </row>
    <row r="115" ht="15.75" customHeight="1">
      <c r="A115" s="29"/>
      <c r="B115" s="16"/>
      <c r="C115" s="29"/>
      <c r="D115" s="29"/>
      <c r="E115" s="29"/>
      <c r="F115" s="29"/>
      <c r="G115" s="29"/>
      <c r="H115" s="41"/>
      <c r="I115" s="41"/>
      <c r="J115" s="51"/>
      <c r="K115" s="29"/>
      <c r="L115" s="29"/>
      <c r="M115" s="29"/>
      <c r="N115" s="29"/>
      <c r="O115" s="52"/>
      <c r="P115" s="52"/>
      <c r="Q115" s="52"/>
      <c r="R115" s="53"/>
      <c r="S115" s="52"/>
      <c r="T115" s="52"/>
      <c r="U115" s="20"/>
      <c r="V115" s="54"/>
      <c r="W115" s="54"/>
    </row>
    <row r="116" ht="15.75" customHeight="1">
      <c r="A116" s="29"/>
      <c r="B116" s="16"/>
      <c r="C116" s="29"/>
      <c r="D116" s="29"/>
      <c r="E116" s="29"/>
      <c r="F116" s="29"/>
      <c r="G116" s="29"/>
      <c r="H116" s="41"/>
      <c r="I116" s="41"/>
      <c r="J116" s="51"/>
      <c r="K116" s="29"/>
      <c r="L116" s="29"/>
      <c r="M116" s="29"/>
      <c r="N116" s="29"/>
      <c r="O116" s="52"/>
      <c r="P116" s="52"/>
      <c r="Q116" s="52"/>
      <c r="R116" s="53"/>
      <c r="S116" s="52"/>
      <c r="T116" s="52"/>
      <c r="U116" s="20"/>
      <c r="V116" s="54"/>
      <c r="W116" s="54"/>
    </row>
    <row r="117" ht="15.75" customHeight="1">
      <c r="A117" s="29"/>
      <c r="B117" s="16"/>
      <c r="C117" s="29"/>
      <c r="D117" s="29"/>
      <c r="E117" s="29"/>
      <c r="F117" s="29"/>
      <c r="G117" s="29"/>
      <c r="H117" s="41"/>
      <c r="I117" s="41"/>
      <c r="J117" s="51"/>
      <c r="K117" s="29"/>
      <c r="L117" s="29"/>
      <c r="M117" s="29"/>
      <c r="N117" s="29"/>
      <c r="O117" s="52"/>
      <c r="P117" s="52"/>
      <c r="Q117" s="52"/>
      <c r="R117" s="53"/>
      <c r="S117" s="52"/>
      <c r="T117" s="52"/>
      <c r="U117" s="20"/>
      <c r="V117" s="54"/>
      <c r="W117" s="54"/>
    </row>
    <row r="118" ht="15.75" customHeight="1">
      <c r="A118" s="29"/>
      <c r="B118" s="16"/>
      <c r="C118" s="29"/>
      <c r="D118" s="29"/>
      <c r="E118" s="29"/>
      <c r="F118" s="29"/>
      <c r="G118" s="29"/>
      <c r="H118" s="41"/>
      <c r="I118" s="41"/>
      <c r="J118" s="51"/>
      <c r="K118" s="29"/>
      <c r="L118" s="29"/>
      <c r="M118" s="29"/>
      <c r="N118" s="29"/>
      <c r="O118" s="52"/>
      <c r="P118" s="52"/>
      <c r="Q118" s="52"/>
      <c r="R118" s="53"/>
      <c r="S118" s="52"/>
      <c r="T118" s="52"/>
      <c r="U118" s="20"/>
      <c r="V118" s="54"/>
      <c r="W118" s="54"/>
    </row>
    <row r="119" ht="15.75" customHeight="1">
      <c r="A119" s="29"/>
      <c r="B119" s="16"/>
      <c r="C119" s="29"/>
      <c r="D119" s="29"/>
      <c r="E119" s="29"/>
      <c r="F119" s="29"/>
      <c r="G119" s="29"/>
      <c r="H119" s="41"/>
      <c r="I119" s="41"/>
      <c r="J119" s="51"/>
      <c r="K119" s="29"/>
      <c r="L119" s="29"/>
      <c r="M119" s="29"/>
      <c r="N119" s="29"/>
      <c r="O119" s="52"/>
      <c r="P119" s="52"/>
      <c r="Q119" s="52"/>
      <c r="R119" s="53"/>
      <c r="S119" s="52"/>
      <c r="T119" s="52"/>
      <c r="U119" s="20"/>
      <c r="V119" s="54"/>
      <c r="W119" s="54"/>
    </row>
    <row r="120" ht="15.75" customHeight="1">
      <c r="A120" s="29"/>
      <c r="B120" s="16"/>
      <c r="C120" s="29"/>
      <c r="D120" s="29"/>
      <c r="E120" s="29"/>
      <c r="F120" s="29"/>
      <c r="G120" s="29"/>
      <c r="H120" s="41"/>
      <c r="I120" s="41"/>
      <c r="J120" s="51"/>
      <c r="K120" s="29"/>
      <c r="L120" s="29"/>
      <c r="M120" s="29"/>
      <c r="N120" s="29"/>
      <c r="O120" s="52"/>
      <c r="P120" s="52"/>
      <c r="Q120" s="52"/>
      <c r="R120" s="53"/>
      <c r="S120" s="52"/>
      <c r="T120" s="52"/>
      <c r="U120" s="20"/>
      <c r="V120" s="54"/>
      <c r="W120" s="54"/>
    </row>
    <row r="121" ht="15.75" customHeight="1">
      <c r="A121" s="29"/>
      <c r="B121" s="16"/>
      <c r="C121" s="29"/>
      <c r="D121" s="29"/>
      <c r="E121" s="29"/>
      <c r="F121" s="29"/>
      <c r="G121" s="29"/>
      <c r="H121" s="41"/>
      <c r="I121" s="41"/>
      <c r="J121" s="51"/>
      <c r="K121" s="29"/>
      <c r="L121" s="29"/>
      <c r="M121" s="29"/>
      <c r="N121" s="29"/>
      <c r="O121" s="52"/>
      <c r="P121" s="52"/>
      <c r="Q121" s="52"/>
      <c r="R121" s="53"/>
      <c r="S121" s="52"/>
      <c r="T121" s="52"/>
      <c r="U121" s="20"/>
      <c r="V121" s="54"/>
      <c r="W121" s="54"/>
    </row>
    <row r="122" ht="15.75" customHeight="1">
      <c r="A122" s="29"/>
      <c r="B122" s="16"/>
      <c r="C122" s="29"/>
      <c r="D122" s="29"/>
      <c r="E122" s="29"/>
      <c r="F122" s="29"/>
      <c r="G122" s="29"/>
      <c r="H122" s="41"/>
      <c r="I122" s="41"/>
      <c r="J122" s="51"/>
      <c r="K122" s="29"/>
      <c r="L122" s="29"/>
      <c r="M122" s="29"/>
      <c r="N122" s="29"/>
      <c r="O122" s="52"/>
      <c r="P122" s="52"/>
      <c r="Q122" s="52"/>
      <c r="R122" s="53"/>
      <c r="S122" s="52"/>
      <c r="T122" s="52"/>
      <c r="U122" s="20"/>
      <c r="V122" s="54"/>
      <c r="W122" s="54"/>
    </row>
    <row r="123" ht="15.75" customHeight="1">
      <c r="A123" s="29"/>
      <c r="B123" s="16"/>
      <c r="C123" s="29"/>
      <c r="D123" s="29"/>
      <c r="E123" s="29"/>
      <c r="F123" s="29"/>
      <c r="G123" s="29"/>
      <c r="H123" s="41"/>
      <c r="I123" s="41"/>
      <c r="J123" s="51"/>
      <c r="K123" s="29"/>
      <c r="L123" s="29"/>
      <c r="M123" s="29"/>
      <c r="N123" s="29"/>
      <c r="O123" s="52"/>
      <c r="P123" s="52"/>
      <c r="Q123" s="52"/>
      <c r="R123" s="53"/>
      <c r="S123" s="52"/>
      <c r="T123" s="52"/>
      <c r="U123" s="20"/>
      <c r="V123" s="54"/>
      <c r="W123" s="54"/>
    </row>
    <row r="124" ht="15.75" customHeight="1">
      <c r="A124" s="29"/>
      <c r="B124" s="16"/>
      <c r="C124" s="29"/>
      <c r="D124" s="29"/>
      <c r="E124" s="29"/>
      <c r="F124" s="29"/>
      <c r="G124" s="29"/>
      <c r="H124" s="41"/>
      <c r="I124" s="41"/>
      <c r="J124" s="51"/>
      <c r="K124" s="29"/>
      <c r="L124" s="29"/>
      <c r="M124" s="29"/>
      <c r="N124" s="29"/>
      <c r="O124" s="52"/>
      <c r="P124" s="52"/>
      <c r="Q124" s="52"/>
      <c r="R124" s="53"/>
      <c r="S124" s="52"/>
      <c r="T124" s="52"/>
      <c r="U124" s="20"/>
      <c r="V124" s="54"/>
      <c r="W124" s="54"/>
    </row>
    <row r="125" ht="15.75" customHeight="1">
      <c r="A125" s="29"/>
      <c r="B125" s="16"/>
      <c r="C125" s="29"/>
      <c r="D125" s="29"/>
      <c r="E125" s="29"/>
      <c r="F125" s="29"/>
      <c r="G125" s="29"/>
      <c r="H125" s="41"/>
      <c r="I125" s="41"/>
      <c r="J125" s="51"/>
      <c r="K125" s="29"/>
      <c r="L125" s="29"/>
      <c r="M125" s="29"/>
      <c r="N125" s="29"/>
      <c r="O125" s="52"/>
      <c r="P125" s="52"/>
      <c r="Q125" s="52"/>
      <c r="R125" s="53"/>
      <c r="S125" s="52"/>
      <c r="T125" s="52"/>
      <c r="U125" s="20"/>
      <c r="V125" s="54"/>
      <c r="W125" s="54"/>
    </row>
    <row r="126" ht="15.75" customHeight="1">
      <c r="A126" s="29"/>
      <c r="B126" s="16"/>
      <c r="C126" s="29"/>
      <c r="D126" s="29"/>
      <c r="E126" s="29"/>
      <c r="F126" s="29"/>
      <c r="G126" s="29"/>
      <c r="H126" s="41"/>
      <c r="I126" s="41"/>
      <c r="J126" s="51"/>
      <c r="K126" s="29"/>
      <c r="L126" s="29"/>
      <c r="M126" s="29"/>
      <c r="N126" s="29"/>
      <c r="O126" s="52"/>
      <c r="P126" s="52"/>
      <c r="Q126" s="52"/>
      <c r="R126" s="53"/>
      <c r="S126" s="52"/>
      <c r="T126" s="52"/>
      <c r="U126" s="20"/>
      <c r="V126" s="54"/>
      <c r="W126" s="54"/>
    </row>
    <row r="127" ht="15.75" customHeight="1">
      <c r="A127" s="29"/>
      <c r="B127" s="16"/>
      <c r="C127" s="29"/>
      <c r="D127" s="29"/>
      <c r="E127" s="29"/>
      <c r="F127" s="29"/>
      <c r="G127" s="29"/>
      <c r="H127" s="41"/>
      <c r="I127" s="41"/>
      <c r="J127" s="51"/>
      <c r="K127" s="29"/>
      <c r="L127" s="29"/>
      <c r="M127" s="29"/>
      <c r="N127" s="29"/>
      <c r="O127" s="52"/>
      <c r="P127" s="52"/>
      <c r="Q127" s="52"/>
      <c r="R127" s="53"/>
      <c r="S127" s="52"/>
      <c r="T127" s="52"/>
      <c r="U127" s="20"/>
      <c r="V127" s="54"/>
      <c r="W127" s="54"/>
    </row>
    <row r="128" ht="15.75" customHeight="1">
      <c r="A128" s="29"/>
      <c r="B128" s="16"/>
      <c r="C128" s="29"/>
      <c r="D128" s="29"/>
      <c r="E128" s="29"/>
      <c r="F128" s="29"/>
      <c r="G128" s="29"/>
      <c r="H128" s="41"/>
      <c r="I128" s="41"/>
      <c r="J128" s="51"/>
      <c r="K128" s="29"/>
      <c r="L128" s="29"/>
      <c r="M128" s="29"/>
      <c r="N128" s="29"/>
      <c r="O128" s="52"/>
      <c r="P128" s="52"/>
      <c r="Q128" s="52"/>
      <c r="R128" s="53"/>
      <c r="S128" s="52"/>
      <c r="T128" s="52"/>
      <c r="U128" s="20"/>
      <c r="V128" s="54"/>
      <c r="W128" s="54"/>
    </row>
    <row r="129" ht="15.75" customHeight="1">
      <c r="A129" s="29"/>
      <c r="B129" s="16"/>
      <c r="C129" s="29"/>
      <c r="D129" s="29"/>
      <c r="E129" s="29"/>
      <c r="F129" s="29"/>
      <c r="G129" s="29"/>
      <c r="H129" s="41"/>
      <c r="I129" s="41"/>
      <c r="J129" s="51"/>
      <c r="K129" s="29"/>
      <c r="L129" s="29"/>
      <c r="M129" s="29"/>
      <c r="N129" s="29"/>
      <c r="O129" s="52"/>
      <c r="P129" s="52"/>
      <c r="Q129" s="52"/>
      <c r="R129" s="53"/>
      <c r="S129" s="52"/>
      <c r="T129" s="52"/>
      <c r="U129" s="20"/>
      <c r="V129" s="54"/>
      <c r="W129" s="54"/>
    </row>
    <row r="130" ht="15.75" customHeight="1">
      <c r="A130" s="29"/>
      <c r="B130" s="16"/>
      <c r="C130" s="29"/>
      <c r="D130" s="29"/>
      <c r="E130" s="29"/>
      <c r="F130" s="29"/>
      <c r="G130" s="29"/>
      <c r="H130" s="41"/>
      <c r="I130" s="41"/>
      <c r="J130" s="51"/>
      <c r="K130" s="29"/>
      <c r="L130" s="29"/>
      <c r="M130" s="29"/>
      <c r="N130" s="29"/>
      <c r="O130" s="52"/>
      <c r="P130" s="52"/>
      <c r="Q130" s="52"/>
      <c r="R130" s="53"/>
      <c r="S130" s="52"/>
      <c r="T130" s="52"/>
      <c r="U130" s="20"/>
      <c r="V130" s="54"/>
      <c r="W130" s="54"/>
    </row>
    <row r="131" ht="15.75" customHeight="1">
      <c r="A131" s="29"/>
      <c r="B131" s="16"/>
      <c r="C131" s="29"/>
      <c r="D131" s="29"/>
      <c r="E131" s="29"/>
      <c r="F131" s="29"/>
      <c r="G131" s="29"/>
      <c r="H131" s="41"/>
      <c r="I131" s="41"/>
      <c r="J131" s="51"/>
      <c r="K131" s="29"/>
      <c r="L131" s="29"/>
      <c r="M131" s="29"/>
      <c r="N131" s="29"/>
      <c r="O131" s="52"/>
      <c r="P131" s="52"/>
      <c r="Q131" s="52"/>
      <c r="R131" s="53"/>
      <c r="S131" s="52"/>
      <c r="T131" s="52"/>
      <c r="U131" s="20"/>
      <c r="V131" s="54"/>
      <c r="W131" s="54"/>
    </row>
    <row r="132" ht="15.75" customHeight="1">
      <c r="A132" s="29"/>
      <c r="B132" s="16"/>
      <c r="C132" s="29"/>
      <c r="D132" s="29"/>
      <c r="E132" s="29"/>
      <c r="F132" s="29"/>
      <c r="G132" s="29"/>
      <c r="H132" s="41"/>
      <c r="I132" s="41"/>
      <c r="J132" s="51"/>
      <c r="K132" s="29"/>
      <c r="L132" s="29"/>
      <c r="M132" s="29"/>
      <c r="N132" s="29"/>
      <c r="O132" s="52"/>
      <c r="P132" s="52"/>
      <c r="Q132" s="52"/>
      <c r="R132" s="53"/>
      <c r="S132" s="52"/>
      <c r="T132" s="52"/>
      <c r="U132" s="20"/>
      <c r="V132" s="54"/>
      <c r="W132" s="54"/>
    </row>
    <row r="133" ht="15.75" customHeight="1">
      <c r="A133" s="29"/>
      <c r="B133" s="16"/>
      <c r="C133" s="29"/>
      <c r="D133" s="29"/>
      <c r="E133" s="29"/>
      <c r="F133" s="29"/>
      <c r="G133" s="29"/>
      <c r="H133" s="41"/>
      <c r="I133" s="41"/>
      <c r="J133" s="51"/>
      <c r="K133" s="29"/>
      <c r="L133" s="29"/>
      <c r="M133" s="29"/>
      <c r="N133" s="29"/>
      <c r="O133" s="52"/>
      <c r="P133" s="52"/>
      <c r="Q133" s="52"/>
      <c r="R133" s="53"/>
      <c r="S133" s="52"/>
      <c r="T133" s="52"/>
      <c r="U133" s="20"/>
      <c r="V133" s="54"/>
      <c r="W133" s="54"/>
    </row>
    <row r="134" ht="15.75" customHeight="1">
      <c r="A134" s="29"/>
      <c r="B134" s="16"/>
      <c r="C134" s="29"/>
      <c r="D134" s="29"/>
      <c r="E134" s="29"/>
      <c r="F134" s="29"/>
      <c r="G134" s="29"/>
      <c r="H134" s="41"/>
      <c r="I134" s="41"/>
      <c r="J134" s="51"/>
      <c r="K134" s="29"/>
      <c r="L134" s="29"/>
      <c r="M134" s="29"/>
      <c r="N134" s="29"/>
      <c r="O134" s="52"/>
      <c r="P134" s="52"/>
      <c r="Q134" s="52"/>
      <c r="R134" s="53"/>
      <c r="S134" s="52"/>
      <c r="T134" s="52"/>
      <c r="U134" s="20"/>
      <c r="V134" s="54"/>
      <c r="W134" s="54"/>
    </row>
    <row r="135" ht="15.75" customHeight="1">
      <c r="A135" s="29"/>
      <c r="B135" s="16"/>
      <c r="C135" s="29"/>
      <c r="D135" s="29"/>
      <c r="E135" s="29"/>
      <c r="F135" s="29"/>
      <c r="G135" s="29"/>
      <c r="H135" s="41"/>
      <c r="I135" s="41"/>
      <c r="J135" s="51"/>
      <c r="K135" s="29"/>
      <c r="L135" s="29"/>
      <c r="M135" s="29"/>
      <c r="N135" s="29"/>
      <c r="O135" s="52"/>
      <c r="P135" s="52"/>
      <c r="Q135" s="52"/>
      <c r="R135" s="53"/>
      <c r="S135" s="52"/>
      <c r="T135" s="52"/>
      <c r="U135" s="29"/>
      <c r="V135" s="54"/>
      <c r="W135" s="54"/>
    </row>
    <row r="136" ht="15.75" customHeight="1">
      <c r="A136" s="29"/>
      <c r="B136" s="16"/>
      <c r="C136" s="29"/>
      <c r="D136" s="29"/>
      <c r="E136" s="29"/>
      <c r="F136" s="29"/>
      <c r="G136" s="29"/>
      <c r="H136" s="41"/>
      <c r="I136" s="41"/>
      <c r="J136" s="51"/>
      <c r="K136" s="29"/>
      <c r="L136" s="29"/>
      <c r="M136" s="29"/>
      <c r="N136" s="29"/>
      <c r="O136" s="52"/>
      <c r="P136" s="52"/>
      <c r="Q136" s="52"/>
      <c r="R136" s="53"/>
      <c r="S136" s="52"/>
      <c r="T136" s="52"/>
      <c r="U136" s="29"/>
      <c r="V136" s="54"/>
      <c r="W136" s="54"/>
    </row>
    <row r="137" ht="15.75" customHeight="1">
      <c r="A137" s="29"/>
      <c r="B137" s="16"/>
      <c r="C137" s="29"/>
      <c r="D137" s="29"/>
      <c r="E137" s="29"/>
      <c r="F137" s="29"/>
      <c r="G137" s="29"/>
      <c r="H137" s="41"/>
      <c r="I137" s="41"/>
      <c r="J137" s="51"/>
      <c r="K137" s="29"/>
      <c r="L137" s="29"/>
      <c r="M137" s="29"/>
      <c r="N137" s="29"/>
      <c r="O137" s="52"/>
      <c r="P137" s="52"/>
      <c r="Q137" s="52"/>
      <c r="R137" s="53"/>
      <c r="S137" s="52"/>
      <c r="T137" s="52"/>
      <c r="U137" s="29"/>
      <c r="V137" s="54"/>
      <c r="W137" s="54"/>
    </row>
    <row r="138" ht="15.75" customHeight="1">
      <c r="A138" s="29"/>
      <c r="B138" s="16"/>
      <c r="C138" s="29"/>
      <c r="D138" s="29"/>
      <c r="E138" s="29"/>
      <c r="F138" s="29"/>
      <c r="G138" s="29"/>
      <c r="H138" s="41"/>
      <c r="I138" s="41"/>
      <c r="J138" s="51"/>
      <c r="K138" s="29"/>
      <c r="L138" s="29"/>
      <c r="M138" s="29"/>
      <c r="N138" s="29"/>
      <c r="O138" s="52"/>
      <c r="P138" s="52"/>
      <c r="Q138" s="52"/>
      <c r="R138" s="53"/>
      <c r="S138" s="52"/>
      <c r="T138" s="52"/>
      <c r="U138" s="29"/>
      <c r="V138" s="54"/>
      <c r="W138" s="54"/>
    </row>
    <row r="139" ht="15.75" customHeight="1">
      <c r="A139" s="29"/>
      <c r="B139" s="16"/>
      <c r="C139" s="29"/>
      <c r="D139" s="29"/>
      <c r="E139" s="29"/>
      <c r="F139" s="29"/>
      <c r="G139" s="29"/>
      <c r="H139" s="41"/>
      <c r="I139" s="41"/>
      <c r="J139" s="51"/>
      <c r="K139" s="29"/>
      <c r="L139" s="29"/>
      <c r="M139" s="29"/>
      <c r="N139" s="29"/>
      <c r="O139" s="52"/>
      <c r="P139" s="52"/>
      <c r="Q139" s="52"/>
      <c r="R139" s="53"/>
      <c r="S139" s="52"/>
      <c r="T139" s="52"/>
      <c r="U139" s="29"/>
      <c r="V139" s="54"/>
      <c r="W139" s="54"/>
    </row>
    <row r="140" ht="15.75" customHeight="1">
      <c r="A140" s="29"/>
      <c r="B140" s="16"/>
      <c r="C140" s="29"/>
      <c r="D140" s="29"/>
      <c r="E140" s="29"/>
      <c r="F140" s="29"/>
      <c r="G140" s="29"/>
      <c r="H140" s="41"/>
      <c r="I140" s="41"/>
      <c r="J140" s="51"/>
      <c r="K140" s="29"/>
      <c r="L140" s="29"/>
      <c r="M140" s="29"/>
      <c r="N140" s="29"/>
      <c r="O140" s="52"/>
      <c r="P140" s="52"/>
      <c r="Q140" s="52"/>
      <c r="R140" s="53"/>
      <c r="S140" s="52"/>
      <c r="T140" s="52"/>
      <c r="U140" s="29"/>
      <c r="V140" s="54"/>
      <c r="W140" s="54"/>
    </row>
    <row r="141" ht="15.75" customHeight="1">
      <c r="A141" s="29"/>
      <c r="B141" s="16"/>
      <c r="C141" s="29"/>
      <c r="D141" s="29"/>
      <c r="E141" s="29"/>
      <c r="F141" s="29"/>
      <c r="G141" s="29"/>
      <c r="H141" s="41"/>
      <c r="I141" s="41"/>
      <c r="J141" s="51"/>
      <c r="K141" s="29"/>
      <c r="L141" s="29"/>
      <c r="M141" s="29"/>
      <c r="N141" s="29"/>
      <c r="O141" s="52"/>
      <c r="P141" s="52"/>
      <c r="Q141" s="52"/>
      <c r="R141" s="53"/>
      <c r="S141" s="52"/>
      <c r="T141" s="52"/>
      <c r="U141" s="29"/>
      <c r="V141" s="54"/>
      <c r="W141" s="54"/>
    </row>
    <row r="142" ht="15.75" customHeight="1">
      <c r="A142" s="29"/>
      <c r="B142" s="16"/>
      <c r="C142" s="29"/>
      <c r="D142" s="29"/>
      <c r="E142" s="29"/>
      <c r="F142" s="29"/>
      <c r="G142" s="29"/>
      <c r="H142" s="41"/>
      <c r="I142" s="41"/>
      <c r="J142" s="51"/>
      <c r="K142" s="29"/>
      <c r="L142" s="29"/>
      <c r="M142" s="29"/>
      <c r="N142" s="29"/>
      <c r="O142" s="52"/>
      <c r="P142" s="52"/>
      <c r="Q142" s="52"/>
      <c r="R142" s="53"/>
      <c r="S142" s="52"/>
      <c r="T142" s="52"/>
      <c r="U142" s="29"/>
      <c r="V142" s="54"/>
      <c r="W142" s="54"/>
    </row>
    <row r="143" ht="15.75" customHeight="1">
      <c r="A143" s="29"/>
      <c r="B143" s="16"/>
      <c r="C143" s="29"/>
      <c r="D143" s="29"/>
      <c r="E143" s="29"/>
      <c r="F143" s="29"/>
      <c r="G143" s="29"/>
      <c r="H143" s="41"/>
      <c r="I143" s="41"/>
      <c r="J143" s="51"/>
      <c r="K143" s="29"/>
      <c r="L143" s="29"/>
      <c r="M143" s="29"/>
      <c r="N143" s="29"/>
      <c r="O143" s="52"/>
      <c r="P143" s="52"/>
      <c r="Q143" s="52"/>
      <c r="R143" s="53"/>
      <c r="S143" s="52"/>
      <c r="T143" s="52"/>
      <c r="U143" s="29"/>
      <c r="V143" s="54"/>
      <c r="W143" s="54"/>
    </row>
    <row r="144" ht="15.75" customHeight="1">
      <c r="A144" s="29"/>
      <c r="B144" s="16"/>
      <c r="C144" s="29"/>
      <c r="D144" s="29"/>
      <c r="E144" s="29"/>
      <c r="F144" s="29"/>
      <c r="G144" s="29"/>
      <c r="H144" s="41"/>
      <c r="I144" s="41"/>
      <c r="J144" s="51"/>
      <c r="K144" s="29"/>
      <c r="L144" s="29"/>
      <c r="M144" s="29"/>
      <c r="N144" s="29"/>
      <c r="O144" s="52"/>
      <c r="P144" s="52"/>
      <c r="Q144" s="52"/>
      <c r="R144" s="53"/>
      <c r="S144" s="52"/>
      <c r="T144" s="52"/>
      <c r="U144" s="29"/>
      <c r="V144" s="54"/>
      <c r="W144" s="54"/>
    </row>
    <row r="145" ht="15.75" customHeight="1">
      <c r="A145" s="29"/>
      <c r="B145" s="16"/>
      <c r="C145" s="29"/>
      <c r="D145" s="29"/>
      <c r="E145" s="29"/>
      <c r="F145" s="29"/>
      <c r="G145" s="29"/>
      <c r="H145" s="41"/>
      <c r="I145" s="41"/>
      <c r="J145" s="51"/>
      <c r="K145" s="29"/>
      <c r="L145" s="29"/>
      <c r="M145" s="29"/>
      <c r="N145" s="29"/>
      <c r="O145" s="52"/>
      <c r="P145" s="52"/>
      <c r="Q145" s="52"/>
      <c r="R145" s="53"/>
      <c r="S145" s="52"/>
      <c r="T145" s="52"/>
      <c r="U145" s="29"/>
      <c r="V145" s="54"/>
      <c r="W145" s="54"/>
    </row>
    <row r="146" ht="15.75" customHeight="1">
      <c r="A146" s="29"/>
      <c r="B146" s="16"/>
      <c r="C146" s="29"/>
      <c r="D146" s="29"/>
      <c r="E146" s="29"/>
      <c r="F146" s="29"/>
      <c r="G146" s="29"/>
      <c r="H146" s="41"/>
      <c r="I146" s="41"/>
      <c r="J146" s="51"/>
      <c r="K146" s="29"/>
      <c r="L146" s="29"/>
      <c r="M146" s="29"/>
      <c r="N146" s="29"/>
      <c r="O146" s="52"/>
      <c r="P146" s="52"/>
      <c r="Q146" s="52"/>
      <c r="R146" s="53"/>
      <c r="S146" s="52"/>
      <c r="T146" s="52"/>
      <c r="U146" s="29"/>
      <c r="V146" s="54"/>
      <c r="W146" s="54"/>
    </row>
    <row r="147" ht="15.75" customHeight="1">
      <c r="A147" s="29"/>
      <c r="B147" s="16"/>
      <c r="C147" s="29"/>
      <c r="D147" s="29"/>
      <c r="E147" s="29"/>
      <c r="F147" s="29"/>
      <c r="G147" s="29"/>
      <c r="H147" s="41"/>
      <c r="I147" s="41"/>
      <c r="J147" s="51"/>
      <c r="K147" s="29"/>
      <c r="L147" s="29"/>
      <c r="M147" s="29"/>
      <c r="N147" s="29"/>
      <c r="O147" s="52"/>
      <c r="P147" s="52"/>
      <c r="Q147" s="52"/>
      <c r="R147" s="53"/>
      <c r="S147" s="52"/>
      <c r="T147" s="52"/>
      <c r="U147" s="29"/>
      <c r="V147" s="54"/>
      <c r="W147" s="54"/>
    </row>
    <row r="148" ht="15.75" customHeight="1">
      <c r="A148" s="29"/>
      <c r="B148" s="16"/>
      <c r="C148" s="29"/>
      <c r="D148" s="29"/>
      <c r="E148" s="29"/>
      <c r="F148" s="29"/>
      <c r="G148" s="29"/>
      <c r="H148" s="41"/>
      <c r="I148" s="41"/>
      <c r="J148" s="51"/>
      <c r="K148" s="29"/>
      <c r="L148" s="29"/>
      <c r="M148" s="29"/>
      <c r="N148" s="29"/>
      <c r="O148" s="52"/>
      <c r="P148" s="52"/>
      <c r="Q148" s="52"/>
      <c r="R148" s="53"/>
      <c r="S148" s="52"/>
      <c r="T148" s="52"/>
      <c r="U148" s="29"/>
      <c r="V148" s="54"/>
      <c r="W148" s="54"/>
    </row>
    <row r="149" ht="15.75" customHeight="1">
      <c r="A149" s="29"/>
      <c r="B149" s="16"/>
      <c r="C149" s="29"/>
      <c r="D149" s="29"/>
      <c r="E149" s="29"/>
      <c r="F149" s="29"/>
      <c r="G149" s="29"/>
      <c r="H149" s="41"/>
      <c r="I149" s="41"/>
      <c r="J149" s="51"/>
      <c r="K149" s="29"/>
      <c r="L149" s="29"/>
      <c r="M149" s="29"/>
      <c r="N149" s="29"/>
      <c r="O149" s="52"/>
      <c r="P149" s="52"/>
      <c r="Q149" s="52"/>
      <c r="R149" s="53"/>
      <c r="S149" s="52"/>
      <c r="T149" s="52"/>
      <c r="U149" s="29"/>
      <c r="V149" s="54"/>
      <c r="W149" s="54"/>
    </row>
    <row r="150" ht="15.75" customHeight="1">
      <c r="A150" s="29"/>
      <c r="B150" s="16"/>
      <c r="C150" s="29"/>
      <c r="D150" s="29"/>
      <c r="E150" s="29"/>
      <c r="F150" s="29"/>
      <c r="G150" s="29"/>
      <c r="H150" s="41"/>
      <c r="I150" s="41"/>
      <c r="J150" s="51"/>
      <c r="K150" s="29"/>
      <c r="L150" s="29"/>
      <c r="M150" s="29"/>
      <c r="N150" s="29"/>
      <c r="O150" s="52"/>
      <c r="P150" s="52"/>
      <c r="Q150" s="52"/>
      <c r="R150" s="53"/>
      <c r="S150" s="52"/>
      <c r="T150" s="52"/>
      <c r="U150" s="29"/>
      <c r="V150" s="54"/>
      <c r="W150" s="54"/>
    </row>
    <row r="151" ht="15.75" customHeight="1">
      <c r="A151" s="29"/>
      <c r="B151" s="16"/>
      <c r="C151" s="29"/>
      <c r="D151" s="29"/>
      <c r="E151" s="29"/>
      <c r="F151" s="29"/>
      <c r="G151" s="29"/>
      <c r="H151" s="41"/>
      <c r="I151" s="41"/>
      <c r="J151" s="51"/>
      <c r="K151" s="29"/>
      <c r="L151" s="29"/>
      <c r="M151" s="29"/>
      <c r="N151" s="29"/>
      <c r="O151" s="52"/>
      <c r="P151" s="52"/>
      <c r="Q151" s="52"/>
      <c r="R151" s="53"/>
      <c r="S151" s="52"/>
      <c r="T151" s="52"/>
      <c r="U151" s="29"/>
      <c r="V151" s="54"/>
      <c r="W151" s="54"/>
    </row>
    <row r="152" ht="15.75" customHeight="1">
      <c r="A152" s="29"/>
      <c r="B152" s="16"/>
      <c r="C152" s="29"/>
      <c r="D152" s="29"/>
      <c r="E152" s="29"/>
      <c r="F152" s="29"/>
      <c r="G152" s="29"/>
      <c r="H152" s="41"/>
      <c r="I152" s="41"/>
      <c r="J152" s="51"/>
      <c r="K152" s="29"/>
      <c r="L152" s="29"/>
      <c r="M152" s="29"/>
      <c r="N152" s="29"/>
      <c r="O152" s="52"/>
      <c r="P152" s="52"/>
      <c r="Q152" s="52"/>
      <c r="R152" s="53"/>
      <c r="S152" s="52"/>
      <c r="T152" s="52"/>
      <c r="U152" s="29"/>
      <c r="V152" s="54"/>
      <c r="W152" s="54"/>
    </row>
    <row r="153" ht="15.75" customHeight="1">
      <c r="A153" s="29"/>
      <c r="B153" s="16"/>
      <c r="C153" s="29"/>
      <c r="D153" s="29"/>
      <c r="E153" s="29"/>
      <c r="F153" s="29"/>
      <c r="G153" s="29"/>
      <c r="H153" s="41"/>
      <c r="I153" s="41"/>
      <c r="J153" s="51"/>
      <c r="K153" s="29"/>
      <c r="L153" s="29"/>
      <c r="M153" s="29"/>
      <c r="N153" s="29"/>
      <c r="O153" s="52"/>
      <c r="P153" s="52"/>
      <c r="Q153" s="52"/>
      <c r="R153" s="53"/>
      <c r="S153" s="52"/>
      <c r="T153" s="52"/>
      <c r="U153" s="29"/>
      <c r="V153" s="54"/>
      <c r="W153" s="54"/>
    </row>
    <row r="154" ht="15.75" customHeight="1">
      <c r="A154" s="29"/>
      <c r="B154" s="16"/>
      <c r="C154" s="29"/>
      <c r="D154" s="29"/>
      <c r="E154" s="29"/>
      <c r="F154" s="29"/>
      <c r="G154" s="29"/>
      <c r="H154" s="41"/>
      <c r="I154" s="41"/>
      <c r="J154" s="51"/>
      <c r="K154" s="29"/>
      <c r="L154" s="29"/>
      <c r="M154" s="29"/>
      <c r="N154" s="29"/>
      <c r="O154" s="52"/>
      <c r="P154" s="52"/>
      <c r="Q154" s="52"/>
      <c r="R154" s="53"/>
      <c r="S154" s="52"/>
      <c r="T154" s="52"/>
      <c r="U154" s="29"/>
      <c r="V154" s="54"/>
      <c r="W154" s="54"/>
    </row>
    <row r="155" ht="15.75" customHeight="1">
      <c r="A155" s="29"/>
      <c r="B155" s="16"/>
      <c r="C155" s="29"/>
      <c r="D155" s="29"/>
      <c r="E155" s="29"/>
      <c r="F155" s="29"/>
      <c r="G155" s="29"/>
      <c r="H155" s="41"/>
      <c r="I155" s="41"/>
      <c r="J155" s="51"/>
      <c r="K155" s="29"/>
      <c r="L155" s="29"/>
      <c r="M155" s="29"/>
      <c r="N155" s="29"/>
      <c r="O155" s="52"/>
      <c r="P155" s="52"/>
      <c r="Q155" s="52"/>
      <c r="R155" s="53"/>
      <c r="S155" s="52"/>
      <c r="T155" s="52"/>
      <c r="U155" s="29"/>
      <c r="V155" s="54"/>
      <c r="W155" s="54"/>
    </row>
    <row r="156" ht="15.75" customHeight="1">
      <c r="A156" s="29"/>
      <c r="B156" s="16"/>
      <c r="C156" s="29"/>
      <c r="D156" s="29"/>
      <c r="E156" s="29"/>
      <c r="F156" s="29"/>
      <c r="G156" s="29"/>
      <c r="H156" s="41"/>
      <c r="I156" s="41"/>
      <c r="J156" s="51"/>
      <c r="K156" s="29"/>
      <c r="L156" s="29"/>
      <c r="M156" s="29"/>
      <c r="N156" s="29"/>
      <c r="O156" s="52"/>
      <c r="P156" s="52"/>
      <c r="Q156" s="52"/>
      <c r="R156" s="53"/>
      <c r="S156" s="52"/>
      <c r="T156" s="52"/>
      <c r="U156" s="29"/>
      <c r="V156" s="54"/>
      <c r="W156" s="54"/>
    </row>
    <row r="157" ht="15.75" customHeight="1">
      <c r="A157" s="29"/>
      <c r="B157" s="16"/>
      <c r="C157" s="29"/>
      <c r="D157" s="29"/>
      <c r="E157" s="29"/>
      <c r="F157" s="29"/>
      <c r="G157" s="29"/>
      <c r="H157" s="41"/>
      <c r="I157" s="41"/>
      <c r="J157" s="51"/>
      <c r="K157" s="29"/>
      <c r="L157" s="29"/>
      <c r="M157" s="29"/>
      <c r="N157" s="29"/>
      <c r="O157" s="52"/>
      <c r="P157" s="52"/>
      <c r="Q157" s="52"/>
      <c r="R157" s="53"/>
      <c r="S157" s="52"/>
      <c r="T157" s="52"/>
      <c r="U157" s="29"/>
      <c r="V157" s="54"/>
      <c r="W157" s="54"/>
    </row>
    <row r="158" ht="15.75" customHeight="1">
      <c r="A158" s="29"/>
      <c r="B158" s="16"/>
      <c r="C158" s="29"/>
      <c r="D158" s="29"/>
      <c r="E158" s="29"/>
      <c r="F158" s="29"/>
      <c r="G158" s="29"/>
      <c r="H158" s="41"/>
      <c r="I158" s="41"/>
      <c r="J158" s="51"/>
      <c r="K158" s="29"/>
      <c r="L158" s="29"/>
      <c r="M158" s="29"/>
      <c r="N158" s="29"/>
      <c r="O158" s="52"/>
      <c r="P158" s="52"/>
      <c r="Q158" s="52"/>
      <c r="R158" s="53"/>
      <c r="S158" s="52"/>
      <c r="T158" s="52"/>
      <c r="U158" s="29"/>
      <c r="V158" s="54"/>
      <c r="W158" s="54"/>
    </row>
    <row r="159" ht="15.75" customHeight="1">
      <c r="A159" s="29"/>
      <c r="B159" s="16"/>
      <c r="C159" s="29"/>
      <c r="D159" s="29"/>
      <c r="E159" s="29"/>
      <c r="F159" s="29"/>
      <c r="G159" s="29"/>
      <c r="H159" s="41"/>
      <c r="I159" s="41"/>
      <c r="J159" s="51"/>
      <c r="K159" s="29"/>
      <c r="L159" s="29"/>
      <c r="M159" s="29"/>
      <c r="N159" s="29"/>
      <c r="O159" s="52"/>
      <c r="P159" s="52"/>
      <c r="Q159" s="52"/>
      <c r="R159" s="53"/>
      <c r="S159" s="52"/>
      <c r="T159" s="52"/>
      <c r="U159" s="29"/>
      <c r="V159" s="54"/>
      <c r="W159" s="54"/>
    </row>
    <row r="160" ht="15.75" customHeight="1">
      <c r="A160" s="29"/>
      <c r="B160" s="16"/>
      <c r="C160" s="29"/>
      <c r="D160" s="29"/>
      <c r="E160" s="29"/>
      <c r="F160" s="29"/>
      <c r="G160" s="29"/>
      <c r="H160" s="41"/>
      <c r="I160" s="41"/>
      <c r="J160" s="51"/>
      <c r="K160" s="29"/>
      <c r="L160" s="29"/>
      <c r="M160" s="29"/>
      <c r="N160" s="29"/>
      <c r="O160" s="52"/>
      <c r="P160" s="52"/>
      <c r="Q160" s="52"/>
      <c r="R160" s="53"/>
      <c r="S160" s="52"/>
      <c r="T160" s="52"/>
      <c r="U160" s="29"/>
      <c r="V160" s="54"/>
      <c r="W160" s="54"/>
    </row>
    <row r="161" ht="15.75" customHeight="1">
      <c r="A161" s="29"/>
      <c r="B161" s="16"/>
      <c r="C161" s="29"/>
      <c r="D161" s="29"/>
      <c r="E161" s="29"/>
      <c r="F161" s="29"/>
      <c r="G161" s="29"/>
      <c r="H161" s="41"/>
      <c r="I161" s="41"/>
      <c r="J161" s="51"/>
      <c r="K161" s="29"/>
      <c r="L161" s="29"/>
      <c r="M161" s="29"/>
      <c r="N161" s="29"/>
      <c r="O161" s="52"/>
      <c r="P161" s="52"/>
      <c r="Q161" s="52"/>
      <c r="R161" s="53"/>
      <c r="S161" s="52"/>
      <c r="T161" s="52"/>
      <c r="U161" s="29"/>
      <c r="V161" s="54"/>
      <c r="W161" s="54"/>
    </row>
    <row r="162" ht="15.75" customHeight="1">
      <c r="A162" s="29"/>
      <c r="B162" s="16"/>
      <c r="C162" s="29"/>
      <c r="D162" s="29"/>
      <c r="E162" s="29"/>
      <c r="F162" s="29"/>
      <c r="G162" s="29"/>
      <c r="H162" s="41"/>
      <c r="I162" s="41"/>
      <c r="J162" s="51"/>
      <c r="K162" s="29"/>
      <c r="L162" s="29"/>
      <c r="M162" s="29"/>
      <c r="N162" s="29"/>
      <c r="O162" s="52"/>
      <c r="P162" s="52"/>
      <c r="Q162" s="52"/>
      <c r="R162" s="53"/>
      <c r="S162" s="52"/>
      <c r="T162" s="52"/>
      <c r="U162" s="29"/>
      <c r="V162" s="54"/>
      <c r="W162" s="54"/>
    </row>
    <row r="163" ht="15.75" customHeight="1">
      <c r="A163" s="29"/>
      <c r="B163" s="16"/>
      <c r="C163" s="29"/>
      <c r="D163" s="29"/>
      <c r="E163" s="29"/>
      <c r="F163" s="29"/>
      <c r="G163" s="29"/>
      <c r="H163" s="41"/>
      <c r="I163" s="41"/>
      <c r="J163" s="51"/>
      <c r="K163" s="29"/>
      <c r="L163" s="29"/>
      <c r="M163" s="29"/>
      <c r="N163" s="29"/>
      <c r="O163" s="52"/>
      <c r="P163" s="52"/>
      <c r="Q163" s="52"/>
      <c r="R163" s="53"/>
      <c r="S163" s="52"/>
      <c r="T163" s="52"/>
      <c r="U163" s="29"/>
      <c r="V163" s="54"/>
      <c r="W163" s="54"/>
    </row>
    <row r="164" ht="15.75" customHeight="1">
      <c r="A164" s="29"/>
      <c r="B164" s="16"/>
      <c r="C164" s="29"/>
      <c r="D164" s="29"/>
      <c r="E164" s="29"/>
      <c r="F164" s="29"/>
      <c r="G164" s="29"/>
      <c r="H164" s="41"/>
      <c r="I164" s="41"/>
      <c r="J164" s="51"/>
      <c r="K164" s="29"/>
      <c r="L164" s="29"/>
      <c r="M164" s="29"/>
      <c r="N164" s="29"/>
      <c r="O164" s="52"/>
      <c r="P164" s="52"/>
      <c r="Q164" s="52"/>
      <c r="R164" s="53"/>
      <c r="S164" s="52"/>
      <c r="T164" s="52"/>
      <c r="U164" s="29"/>
      <c r="V164" s="54"/>
      <c r="W164" s="54"/>
    </row>
    <row r="165" ht="15.75" customHeight="1">
      <c r="A165" s="29"/>
      <c r="B165" s="16"/>
      <c r="C165" s="29"/>
      <c r="D165" s="29"/>
      <c r="E165" s="29"/>
      <c r="F165" s="29"/>
      <c r="G165" s="29"/>
      <c r="H165" s="41"/>
      <c r="I165" s="41"/>
      <c r="J165" s="51"/>
      <c r="K165" s="29"/>
      <c r="L165" s="29"/>
      <c r="M165" s="29"/>
      <c r="N165" s="29"/>
      <c r="O165" s="52"/>
      <c r="P165" s="52"/>
      <c r="Q165" s="52"/>
      <c r="R165" s="53"/>
      <c r="S165" s="52"/>
      <c r="T165" s="52"/>
      <c r="U165" s="29"/>
      <c r="V165" s="54"/>
      <c r="W165" s="54"/>
    </row>
    <row r="166" ht="15.75" customHeight="1">
      <c r="A166" s="29"/>
      <c r="B166" s="16"/>
      <c r="C166" s="29"/>
      <c r="D166" s="29"/>
      <c r="E166" s="29"/>
      <c r="F166" s="29"/>
      <c r="G166" s="29"/>
      <c r="H166" s="41"/>
      <c r="I166" s="41"/>
      <c r="J166" s="51"/>
      <c r="K166" s="29"/>
      <c r="L166" s="29"/>
      <c r="M166" s="29"/>
      <c r="N166" s="29"/>
      <c r="O166" s="52"/>
      <c r="P166" s="52"/>
      <c r="Q166" s="52"/>
      <c r="R166" s="53"/>
      <c r="S166" s="52"/>
      <c r="T166" s="52"/>
      <c r="U166" s="29"/>
      <c r="V166" s="54"/>
      <c r="W166" s="54"/>
    </row>
    <row r="167" ht="15.75" customHeight="1">
      <c r="A167" s="29"/>
      <c r="B167" s="16"/>
      <c r="C167" s="29"/>
      <c r="D167" s="29"/>
      <c r="E167" s="29"/>
      <c r="F167" s="29"/>
      <c r="G167" s="29"/>
      <c r="H167" s="41"/>
      <c r="I167" s="41"/>
      <c r="J167" s="51"/>
      <c r="K167" s="29"/>
      <c r="L167" s="29"/>
      <c r="M167" s="29"/>
      <c r="N167" s="29"/>
      <c r="O167" s="52"/>
      <c r="P167" s="52"/>
      <c r="Q167" s="52"/>
      <c r="R167" s="53"/>
      <c r="S167" s="52"/>
      <c r="T167" s="52"/>
      <c r="U167" s="29"/>
      <c r="V167" s="54"/>
      <c r="W167" s="54"/>
    </row>
    <row r="168" ht="15.75" customHeight="1">
      <c r="A168" s="29"/>
      <c r="B168" s="16"/>
      <c r="C168" s="29"/>
      <c r="D168" s="29"/>
      <c r="E168" s="29"/>
      <c r="F168" s="29"/>
      <c r="G168" s="29"/>
      <c r="H168" s="41"/>
      <c r="I168" s="41"/>
      <c r="J168" s="51"/>
      <c r="K168" s="29"/>
      <c r="L168" s="29"/>
      <c r="M168" s="29"/>
      <c r="N168" s="29"/>
      <c r="O168" s="52"/>
      <c r="P168" s="52"/>
      <c r="Q168" s="52"/>
      <c r="R168" s="53"/>
      <c r="S168" s="52"/>
      <c r="T168" s="52"/>
      <c r="U168" s="29"/>
      <c r="V168" s="54"/>
      <c r="W168" s="54"/>
    </row>
    <row r="169" ht="15.75" customHeight="1">
      <c r="A169" s="29"/>
      <c r="B169" s="16"/>
      <c r="C169" s="29"/>
      <c r="D169" s="29"/>
      <c r="E169" s="29"/>
      <c r="F169" s="29"/>
      <c r="G169" s="29"/>
      <c r="H169" s="41"/>
      <c r="I169" s="41"/>
      <c r="J169" s="51"/>
      <c r="K169" s="29"/>
      <c r="L169" s="29"/>
      <c r="M169" s="29"/>
      <c r="N169" s="29"/>
      <c r="O169" s="52"/>
      <c r="P169" s="52"/>
      <c r="Q169" s="52"/>
      <c r="R169" s="53"/>
      <c r="S169" s="52"/>
      <c r="T169" s="52"/>
      <c r="U169" s="29"/>
      <c r="V169" s="54"/>
      <c r="W169" s="54"/>
    </row>
    <row r="170" ht="15.75" customHeight="1">
      <c r="A170" s="29"/>
      <c r="B170" s="16"/>
      <c r="C170" s="29"/>
      <c r="D170" s="29"/>
      <c r="E170" s="29"/>
      <c r="F170" s="29"/>
      <c r="G170" s="29"/>
      <c r="H170" s="41"/>
      <c r="I170" s="41"/>
      <c r="J170" s="51"/>
      <c r="K170" s="29"/>
      <c r="L170" s="29"/>
      <c r="M170" s="29"/>
      <c r="N170" s="29"/>
      <c r="O170" s="52"/>
      <c r="P170" s="52"/>
      <c r="Q170" s="52"/>
      <c r="R170" s="53"/>
      <c r="S170" s="52"/>
      <c r="T170" s="52"/>
      <c r="U170" s="29"/>
      <c r="V170" s="54"/>
      <c r="W170" s="54"/>
    </row>
    <row r="171" ht="15.75" customHeight="1">
      <c r="A171" s="29"/>
      <c r="B171" s="16"/>
      <c r="C171" s="29"/>
      <c r="D171" s="29"/>
      <c r="E171" s="29"/>
      <c r="F171" s="29"/>
      <c r="G171" s="29"/>
      <c r="H171" s="41"/>
      <c r="I171" s="41"/>
      <c r="J171" s="51"/>
      <c r="K171" s="29"/>
      <c r="L171" s="29"/>
      <c r="M171" s="29"/>
      <c r="N171" s="29"/>
      <c r="O171" s="52"/>
      <c r="P171" s="52"/>
      <c r="Q171" s="52"/>
      <c r="R171" s="53"/>
      <c r="S171" s="52"/>
      <c r="T171" s="52"/>
      <c r="U171" s="29"/>
      <c r="V171" s="54"/>
      <c r="W171" s="54"/>
    </row>
    <row r="172" ht="15.75" customHeight="1">
      <c r="A172" s="29"/>
      <c r="B172" s="16"/>
      <c r="C172" s="29"/>
      <c r="D172" s="29"/>
      <c r="E172" s="29"/>
      <c r="F172" s="29"/>
      <c r="G172" s="29"/>
      <c r="H172" s="41"/>
      <c r="I172" s="41"/>
      <c r="J172" s="51"/>
      <c r="K172" s="29"/>
      <c r="L172" s="29"/>
      <c r="M172" s="29"/>
      <c r="N172" s="29"/>
      <c r="O172" s="52"/>
      <c r="P172" s="52"/>
      <c r="Q172" s="52"/>
      <c r="R172" s="53"/>
      <c r="S172" s="52"/>
      <c r="T172" s="52"/>
      <c r="U172" s="29"/>
      <c r="V172" s="54"/>
      <c r="W172" s="54"/>
    </row>
    <row r="173" ht="15.75" customHeight="1">
      <c r="A173" s="29"/>
      <c r="B173" s="16"/>
      <c r="C173" s="29"/>
      <c r="D173" s="29"/>
      <c r="E173" s="29"/>
      <c r="F173" s="29"/>
      <c r="G173" s="29"/>
      <c r="H173" s="41"/>
      <c r="I173" s="41"/>
      <c r="J173" s="51"/>
      <c r="K173" s="29"/>
      <c r="L173" s="29"/>
      <c r="M173" s="29"/>
      <c r="N173" s="29"/>
      <c r="O173" s="52"/>
      <c r="P173" s="52"/>
      <c r="Q173" s="52"/>
      <c r="R173" s="53"/>
      <c r="S173" s="52"/>
      <c r="T173" s="52"/>
      <c r="U173" s="29"/>
      <c r="V173" s="54"/>
      <c r="W173" s="54"/>
    </row>
    <row r="174" ht="15.75" customHeight="1">
      <c r="A174" s="29"/>
      <c r="B174" s="16"/>
      <c r="C174" s="29"/>
      <c r="D174" s="29"/>
      <c r="E174" s="29"/>
      <c r="F174" s="29"/>
      <c r="G174" s="29"/>
      <c r="H174" s="41"/>
      <c r="I174" s="41"/>
      <c r="J174" s="51"/>
      <c r="K174" s="29"/>
      <c r="L174" s="29"/>
      <c r="M174" s="29"/>
      <c r="N174" s="29"/>
      <c r="O174" s="52"/>
      <c r="P174" s="52"/>
      <c r="Q174" s="52"/>
      <c r="R174" s="53"/>
      <c r="S174" s="52"/>
      <c r="T174" s="52"/>
      <c r="U174" s="29"/>
      <c r="V174" s="54"/>
      <c r="W174" s="54"/>
    </row>
    <row r="175" ht="15.75" customHeight="1">
      <c r="A175" s="29"/>
      <c r="B175" s="16"/>
      <c r="C175" s="29"/>
      <c r="D175" s="29"/>
      <c r="E175" s="29"/>
      <c r="F175" s="29"/>
      <c r="G175" s="29"/>
      <c r="H175" s="41"/>
      <c r="I175" s="41"/>
      <c r="J175" s="51"/>
      <c r="K175" s="29"/>
      <c r="L175" s="29"/>
      <c r="M175" s="29"/>
      <c r="N175" s="29"/>
      <c r="O175" s="52"/>
      <c r="P175" s="52"/>
      <c r="Q175" s="52"/>
      <c r="R175" s="53"/>
      <c r="S175" s="52"/>
      <c r="T175" s="52"/>
      <c r="U175" s="29"/>
      <c r="V175" s="54"/>
      <c r="W175" s="54"/>
    </row>
    <row r="176" ht="15.75" customHeight="1">
      <c r="A176" s="29"/>
      <c r="B176" s="16"/>
      <c r="C176" s="29"/>
      <c r="D176" s="29"/>
      <c r="E176" s="29"/>
      <c r="F176" s="29"/>
      <c r="G176" s="29"/>
      <c r="H176" s="41"/>
      <c r="I176" s="41"/>
      <c r="J176" s="51"/>
      <c r="K176" s="29"/>
      <c r="L176" s="29"/>
      <c r="M176" s="29"/>
      <c r="N176" s="29"/>
      <c r="O176" s="52"/>
      <c r="P176" s="52"/>
      <c r="Q176" s="52"/>
      <c r="R176" s="53"/>
      <c r="S176" s="52"/>
      <c r="T176" s="52"/>
      <c r="U176" s="29"/>
      <c r="V176" s="54"/>
      <c r="W176" s="54"/>
    </row>
    <row r="177" ht="15.75" customHeight="1">
      <c r="A177" s="29"/>
      <c r="B177" s="16"/>
      <c r="C177" s="29"/>
      <c r="D177" s="29"/>
      <c r="E177" s="29"/>
      <c r="F177" s="29"/>
      <c r="G177" s="29"/>
      <c r="H177" s="41"/>
      <c r="I177" s="41"/>
      <c r="J177" s="51"/>
      <c r="K177" s="29"/>
      <c r="L177" s="29"/>
      <c r="M177" s="29"/>
      <c r="N177" s="29"/>
      <c r="O177" s="52"/>
      <c r="P177" s="52"/>
      <c r="Q177" s="52"/>
      <c r="R177" s="53"/>
      <c r="S177" s="52"/>
      <c r="T177" s="52"/>
      <c r="U177" s="29"/>
      <c r="V177" s="54"/>
      <c r="W177" s="54"/>
    </row>
    <row r="178" ht="15.75" customHeight="1">
      <c r="A178" s="29"/>
      <c r="B178" s="16"/>
      <c r="C178" s="29"/>
      <c r="D178" s="29"/>
      <c r="E178" s="29"/>
      <c r="F178" s="29"/>
      <c r="G178" s="29"/>
      <c r="H178" s="41"/>
      <c r="I178" s="41"/>
      <c r="J178" s="51"/>
      <c r="K178" s="29"/>
      <c r="L178" s="29"/>
      <c r="M178" s="29"/>
      <c r="N178" s="29"/>
      <c r="O178" s="52"/>
      <c r="P178" s="52"/>
      <c r="Q178" s="52"/>
      <c r="R178" s="53"/>
      <c r="S178" s="52"/>
      <c r="T178" s="52"/>
      <c r="U178" s="29"/>
      <c r="V178" s="54"/>
      <c r="W178" s="54"/>
    </row>
    <row r="179" ht="15.75" customHeight="1">
      <c r="A179" s="29"/>
      <c r="B179" s="16"/>
      <c r="C179" s="29"/>
      <c r="D179" s="29"/>
      <c r="E179" s="29"/>
      <c r="F179" s="29"/>
      <c r="G179" s="29"/>
      <c r="H179" s="41"/>
      <c r="I179" s="41"/>
      <c r="J179" s="51"/>
      <c r="K179" s="29"/>
      <c r="L179" s="29"/>
      <c r="M179" s="29"/>
      <c r="N179" s="29"/>
      <c r="O179" s="52"/>
      <c r="P179" s="52"/>
      <c r="Q179" s="52"/>
      <c r="R179" s="53"/>
      <c r="S179" s="52"/>
      <c r="T179" s="52"/>
      <c r="U179" s="29"/>
      <c r="V179" s="54"/>
      <c r="W179" s="54"/>
    </row>
    <row r="180" ht="15.75" customHeight="1">
      <c r="A180" s="29"/>
      <c r="B180" s="16"/>
      <c r="C180" s="29"/>
      <c r="D180" s="29"/>
      <c r="E180" s="29"/>
      <c r="F180" s="29"/>
      <c r="G180" s="29"/>
      <c r="H180" s="41"/>
      <c r="I180" s="41"/>
      <c r="J180" s="51"/>
      <c r="K180" s="29"/>
      <c r="L180" s="29"/>
      <c r="M180" s="29"/>
      <c r="N180" s="29"/>
      <c r="O180" s="52"/>
      <c r="P180" s="52"/>
      <c r="Q180" s="52"/>
      <c r="R180" s="53"/>
      <c r="S180" s="52"/>
      <c r="T180" s="52"/>
      <c r="U180" s="29"/>
      <c r="V180" s="54"/>
      <c r="W180" s="54"/>
    </row>
    <row r="181" ht="15.75" customHeight="1">
      <c r="A181" s="29"/>
      <c r="B181" s="16"/>
      <c r="C181" s="29"/>
      <c r="D181" s="29"/>
      <c r="E181" s="29"/>
      <c r="F181" s="29"/>
      <c r="G181" s="29"/>
      <c r="H181" s="41"/>
      <c r="I181" s="41"/>
      <c r="J181" s="51"/>
      <c r="K181" s="29"/>
      <c r="L181" s="29"/>
      <c r="M181" s="29"/>
      <c r="N181" s="29"/>
      <c r="O181" s="52"/>
      <c r="P181" s="52"/>
      <c r="Q181" s="52"/>
      <c r="R181" s="53"/>
      <c r="S181" s="52"/>
      <c r="T181" s="52"/>
      <c r="U181" s="29"/>
      <c r="V181" s="54"/>
      <c r="W181" s="54"/>
    </row>
    <row r="182" ht="15.75" customHeight="1">
      <c r="A182" s="29"/>
      <c r="B182" s="16"/>
      <c r="C182" s="29"/>
      <c r="D182" s="29"/>
      <c r="E182" s="29"/>
      <c r="F182" s="29"/>
      <c r="G182" s="29"/>
      <c r="H182" s="41"/>
      <c r="I182" s="41"/>
      <c r="J182" s="51"/>
      <c r="K182" s="29"/>
      <c r="L182" s="29"/>
      <c r="M182" s="29"/>
      <c r="N182" s="29"/>
      <c r="O182" s="52"/>
      <c r="P182" s="52"/>
      <c r="Q182" s="52"/>
      <c r="R182" s="53"/>
      <c r="S182" s="52"/>
      <c r="T182" s="52"/>
      <c r="U182" s="29"/>
      <c r="V182" s="54"/>
      <c r="W182" s="54"/>
    </row>
    <row r="183" ht="15.75" customHeight="1">
      <c r="A183" s="29"/>
      <c r="B183" s="16"/>
      <c r="C183" s="29"/>
      <c r="D183" s="29"/>
      <c r="E183" s="29"/>
      <c r="F183" s="29"/>
      <c r="G183" s="29"/>
      <c r="H183" s="41"/>
      <c r="I183" s="41"/>
      <c r="J183" s="51"/>
      <c r="K183" s="29"/>
      <c r="L183" s="29"/>
      <c r="M183" s="29"/>
      <c r="N183" s="29"/>
      <c r="O183" s="52"/>
      <c r="P183" s="52"/>
      <c r="Q183" s="52"/>
      <c r="R183" s="53"/>
      <c r="S183" s="52"/>
      <c r="T183" s="52"/>
      <c r="U183" s="29"/>
      <c r="V183" s="54"/>
      <c r="W183" s="54"/>
    </row>
    <row r="184" ht="15.75" customHeight="1">
      <c r="A184" s="29"/>
      <c r="B184" s="16"/>
      <c r="C184" s="29"/>
      <c r="D184" s="29"/>
      <c r="E184" s="29"/>
      <c r="F184" s="29"/>
      <c r="G184" s="29"/>
      <c r="H184" s="41"/>
      <c r="I184" s="41"/>
      <c r="J184" s="51"/>
      <c r="K184" s="29"/>
      <c r="L184" s="29"/>
      <c r="M184" s="29"/>
      <c r="N184" s="29"/>
      <c r="O184" s="52"/>
      <c r="P184" s="52"/>
      <c r="Q184" s="52"/>
      <c r="R184" s="53"/>
      <c r="S184" s="52"/>
      <c r="T184" s="52"/>
      <c r="U184" s="29"/>
      <c r="V184" s="54"/>
      <c r="W184" s="54"/>
    </row>
    <row r="185" ht="15.75" customHeight="1">
      <c r="A185" s="29"/>
      <c r="B185" s="16"/>
      <c r="C185" s="29"/>
      <c r="D185" s="29"/>
      <c r="E185" s="29"/>
      <c r="F185" s="29"/>
      <c r="G185" s="29"/>
      <c r="H185" s="41"/>
      <c r="I185" s="41"/>
      <c r="J185" s="51"/>
      <c r="K185" s="29"/>
      <c r="L185" s="29"/>
      <c r="M185" s="29"/>
      <c r="N185" s="29"/>
      <c r="O185" s="52"/>
      <c r="P185" s="52"/>
      <c r="Q185" s="52"/>
      <c r="R185" s="53"/>
      <c r="S185" s="52"/>
      <c r="T185" s="52"/>
      <c r="U185" s="29"/>
      <c r="V185" s="54"/>
      <c r="W185" s="54"/>
    </row>
    <row r="186" ht="15.75" customHeight="1">
      <c r="A186" s="29"/>
      <c r="B186" s="16"/>
      <c r="C186" s="29"/>
      <c r="D186" s="29"/>
      <c r="E186" s="29"/>
      <c r="F186" s="29"/>
      <c r="G186" s="29"/>
      <c r="H186" s="41"/>
      <c r="I186" s="41"/>
      <c r="J186" s="51"/>
      <c r="K186" s="29"/>
      <c r="L186" s="29"/>
      <c r="M186" s="29"/>
      <c r="N186" s="29"/>
      <c r="O186" s="52"/>
      <c r="P186" s="52"/>
      <c r="Q186" s="52"/>
      <c r="R186" s="53"/>
      <c r="S186" s="52"/>
      <c r="T186" s="52"/>
      <c r="U186" s="29"/>
      <c r="V186" s="54"/>
      <c r="W186" s="54"/>
    </row>
    <row r="187" ht="15.75" customHeight="1">
      <c r="A187" s="29"/>
      <c r="B187" s="16"/>
      <c r="C187" s="29"/>
      <c r="D187" s="29"/>
      <c r="E187" s="29"/>
      <c r="F187" s="29"/>
      <c r="G187" s="29"/>
      <c r="H187" s="41"/>
      <c r="I187" s="41"/>
      <c r="J187" s="51"/>
      <c r="K187" s="29"/>
      <c r="L187" s="29"/>
      <c r="M187" s="29"/>
      <c r="N187" s="29"/>
      <c r="O187" s="52"/>
      <c r="P187" s="52"/>
      <c r="Q187" s="52"/>
      <c r="R187" s="53"/>
      <c r="S187" s="52"/>
      <c r="T187" s="52"/>
      <c r="U187" s="29"/>
      <c r="V187" s="54"/>
      <c r="W187" s="54"/>
    </row>
    <row r="188" ht="15.75" customHeight="1">
      <c r="A188" s="29"/>
      <c r="B188" s="16"/>
      <c r="C188" s="29"/>
      <c r="D188" s="29"/>
      <c r="E188" s="29"/>
      <c r="F188" s="29"/>
      <c r="G188" s="29"/>
      <c r="H188" s="41"/>
      <c r="I188" s="41"/>
      <c r="J188" s="51"/>
      <c r="K188" s="29"/>
      <c r="L188" s="29"/>
      <c r="M188" s="29"/>
      <c r="N188" s="29"/>
      <c r="O188" s="52"/>
      <c r="P188" s="52"/>
      <c r="Q188" s="52"/>
      <c r="R188" s="53"/>
      <c r="S188" s="52"/>
      <c r="T188" s="52"/>
      <c r="U188" s="29"/>
      <c r="V188" s="54"/>
      <c r="W188" s="54"/>
    </row>
    <row r="189" ht="15.75" customHeight="1">
      <c r="A189" s="29"/>
      <c r="B189" s="16"/>
      <c r="C189" s="29"/>
      <c r="D189" s="29"/>
      <c r="E189" s="29"/>
      <c r="F189" s="29"/>
      <c r="G189" s="29"/>
      <c r="H189" s="41"/>
      <c r="I189" s="41"/>
      <c r="J189" s="51"/>
      <c r="K189" s="29"/>
      <c r="L189" s="29"/>
      <c r="M189" s="29"/>
      <c r="N189" s="29"/>
      <c r="O189" s="52"/>
      <c r="P189" s="52"/>
      <c r="Q189" s="52"/>
      <c r="R189" s="53"/>
      <c r="S189" s="52"/>
      <c r="T189" s="52"/>
      <c r="U189" s="29"/>
      <c r="V189" s="54"/>
      <c r="W189" s="54"/>
    </row>
    <row r="190" ht="15.75" customHeight="1">
      <c r="A190" s="29"/>
      <c r="B190" s="16"/>
      <c r="C190" s="29"/>
      <c r="D190" s="29"/>
      <c r="E190" s="29"/>
      <c r="F190" s="29"/>
      <c r="G190" s="29"/>
      <c r="H190" s="41"/>
      <c r="I190" s="41"/>
      <c r="J190" s="51"/>
      <c r="K190" s="29"/>
      <c r="L190" s="29"/>
      <c r="M190" s="29"/>
      <c r="N190" s="29"/>
      <c r="O190" s="52"/>
      <c r="P190" s="52"/>
      <c r="Q190" s="52"/>
      <c r="R190" s="53"/>
      <c r="S190" s="52"/>
      <c r="T190" s="52"/>
      <c r="U190" s="29"/>
      <c r="V190" s="54"/>
      <c r="W190" s="54"/>
    </row>
    <row r="191" ht="15.75" customHeight="1">
      <c r="A191" s="29"/>
      <c r="B191" s="16"/>
      <c r="C191" s="29"/>
      <c r="D191" s="29"/>
      <c r="E191" s="29"/>
      <c r="F191" s="29"/>
      <c r="G191" s="29"/>
      <c r="H191" s="41"/>
      <c r="I191" s="41"/>
      <c r="J191" s="51"/>
      <c r="K191" s="29"/>
      <c r="L191" s="29"/>
      <c r="M191" s="29"/>
      <c r="N191" s="29"/>
      <c r="O191" s="52"/>
      <c r="P191" s="52"/>
      <c r="Q191" s="52"/>
      <c r="R191" s="53"/>
      <c r="S191" s="52"/>
      <c r="T191" s="52"/>
      <c r="U191" s="29"/>
      <c r="V191" s="54"/>
      <c r="W191" s="54"/>
    </row>
    <row r="192" ht="15.75" customHeight="1">
      <c r="A192" s="29"/>
      <c r="B192" s="16"/>
      <c r="C192" s="29"/>
      <c r="D192" s="29"/>
      <c r="E192" s="29"/>
      <c r="F192" s="29"/>
      <c r="G192" s="29"/>
      <c r="H192" s="41"/>
      <c r="I192" s="41"/>
      <c r="J192" s="51"/>
      <c r="K192" s="29"/>
      <c r="L192" s="29"/>
      <c r="M192" s="29"/>
      <c r="N192" s="29"/>
      <c r="O192" s="52"/>
      <c r="P192" s="52"/>
      <c r="Q192" s="52"/>
      <c r="R192" s="53"/>
      <c r="S192" s="52"/>
      <c r="T192" s="52"/>
      <c r="U192" s="29"/>
      <c r="V192" s="54"/>
      <c r="W192" s="54"/>
    </row>
    <row r="193" ht="15.75" customHeight="1">
      <c r="A193" s="29"/>
      <c r="B193" s="16"/>
      <c r="C193" s="29"/>
      <c r="D193" s="29"/>
      <c r="E193" s="29"/>
      <c r="F193" s="29"/>
      <c r="G193" s="29"/>
      <c r="H193" s="41"/>
      <c r="I193" s="41"/>
      <c r="J193" s="51"/>
      <c r="K193" s="29"/>
      <c r="L193" s="29"/>
      <c r="M193" s="29"/>
      <c r="N193" s="29"/>
      <c r="O193" s="52"/>
      <c r="P193" s="52"/>
      <c r="Q193" s="52"/>
      <c r="R193" s="53"/>
      <c r="S193" s="52"/>
      <c r="T193" s="52"/>
      <c r="U193" s="29"/>
      <c r="V193" s="54"/>
      <c r="W193" s="54"/>
    </row>
    <row r="194" ht="15.75" customHeight="1">
      <c r="A194" s="29"/>
      <c r="B194" s="16"/>
      <c r="C194" s="29"/>
      <c r="D194" s="29"/>
      <c r="E194" s="29"/>
      <c r="F194" s="29"/>
      <c r="G194" s="29"/>
      <c r="H194" s="41"/>
      <c r="I194" s="41"/>
      <c r="J194" s="51"/>
      <c r="K194" s="29"/>
      <c r="L194" s="29"/>
      <c r="M194" s="29"/>
      <c r="N194" s="29"/>
      <c r="O194" s="52"/>
      <c r="P194" s="52"/>
      <c r="Q194" s="52"/>
      <c r="R194" s="53"/>
      <c r="S194" s="52"/>
      <c r="T194" s="52"/>
      <c r="U194" s="29"/>
      <c r="V194" s="54"/>
      <c r="W194" s="54"/>
    </row>
    <row r="195" ht="15.75" customHeight="1">
      <c r="A195" s="29"/>
      <c r="B195" s="16"/>
      <c r="C195" s="29"/>
      <c r="D195" s="29"/>
      <c r="E195" s="29"/>
      <c r="F195" s="29"/>
      <c r="G195" s="29"/>
      <c r="H195" s="41"/>
      <c r="I195" s="41"/>
      <c r="J195" s="51"/>
      <c r="K195" s="29"/>
      <c r="L195" s="29"/>
      <c r="M195" s="29"/>
      <c r="N195" s="29"/>
      <c r="O195" s="52"/>
      <c r="P195" s="52"/>
      <c r="Q195" s="52"/>
      <c r="R195" s="53"/>
      <c r="S195" s="52"/>
      <c r="T195" s="52"/>
      <c r="U195" s="29"/>
      <c r="V195" s="54"/>
      <c r="W195" s="54"/>
    </row>
    <row r="196" ht="15.75" customHeight="1">
      <c r="A196" s="29"/>
      <c r="B196" s="16"/>
      <c r="C196" s="29"/>
      <c r="D196" s="29"/>
      <c r="E196" s="29"/>
      <c r="F196" s="29"/>
      <c r="G196" s="29"/>
      <c r="H196" s="41"/>
      <c r="I196" s="41"/>
      <c r="J196" s="51"/>
      <c r="K196" s="29"/>
      <c r="L196" s="29"/>
      <c r="M196" s="29"/>
      <c r="N196" s="29"/>
      <c r="O196" s="52"/>
      <c r="P196" s="52"/>
      <c r="Q196" s="52"/>
      <c r="R196" s="53"/>
      <c r="S196" s="52"/>
      <c r="T196" s="52"/>
      <c r="U196" s="29"/>
      <c r="V196" s="54"/>
      <c r="W196" s="54"/>
    </row>
    <row r="197" ht="15.75" customHeight="1">
      <c r="A197" s="29"/>
      <c r="B197" s="16"/>
      <c r="C197" s="29"/>
      <c r="D197" s="29"/>
      <c r="E197" s="29"/>
      <c r="F197" s="29"/>
      <c r="G197" s="29"/>
      <c r="H197" s="41"/>
      <c r="I197" s="41"/>
      <c r="J197" s="51"/>
      <c r="K197" s="29"/>
      <c r="L197" s="29"/>
      <c r="M197" s="29"/>
      <c r="N197" s="29"/>
      <c r="O197" s="52"/>
      <c r="P197" s="52"/>
      <c r="Q197" s="52"/>
      <c r="R197" s="53"/>
      <c r="S197" s="52"/>
      <c r="T197" s="52"/>
      <c r="U197" s="29"/>
      <c r="V197" s="54"/>
      <c r="W197" s="54"/>
    </row>
    <row r="198" ht="15.75" customHeight="1">
      <c r="A198" s="29"/>
      <c r="B198" s="16"/>
      <c r="C198" s="29"/>
      <c r="D198" s="29"/>
      <c r="E198" s="29"/>
      <c r="F198" s="29"/>
      <c r="G198" s="29"/>
      <c r="H198" s="41"/>
      <c r="I198" s="41"/>
      <c r="J198" s="51"/>
      <c r="K198" s="29"/>
      <c r="L198" s="29"/>
      <c r="M198" s="29"/>
      <c r="N198" s="29"/>
      <c r="O198" s="52"/>
      <c r="P198" s="52"/>
      <c r="Q198" s="52"/>
      <c r="R198" s="53"/>
      <c r="S198" s="52"/>
      <c r="T198" s="52"/>
      <c r="U198" s="29"/>
      <c r="V198" s="54"/>
      <c r="W198" s="54"/>
    </row>
    <row r="199" ht="15.75" customHeight="1">
      <c r="A199" s="29"/>
      <c r="B199" s="16"/>
      <c r="C199" s="29"/>
      <c r="D199" s="29"/>
      <c r="E199" s="29"/>
      <c r="F199" s="29"/>
      <c r="G199" s="29"/>
      <c r="H199" s="41"/>
      <c r="I199" s="41"/>
      <c r="J199" s="51"/>
      <c r="K199" s="29"/>
      <c r="L199" s="29"/>
      <c r="M199" s="29"/>
      <c r="N199" s="29"/>
      <c r="O199" s="52"/>
      <c r="P199" s="52"/>
      <c r="Q199" s="52"/>
      <c r="R199" s="53"/>
      <c r="S199" s="52"/>
      <c r="T199" s="52"/>
      <c r="U199" s="29"/>
      <c r="V199" s="54"/>
      <c r="W199" s="54"/>
    </row>
    <row r="200" ht="15.75" customHeight="1">
      <c r="A200" s="29"/>
      <c r="B200" s="16"/>
      <c r="C200" s="29"/>
      <c r="D200" s="29"/>
      <c r="E200" s="29"/>
      <c r="F200" s="29"/>
      <c r="G200" s="29"/>
      <c r="H200" s="41"/>
      <c r="I200" s="41"/>
      <c r="J200" s="51"/>
      <c r="K200" s="29"/>
      <c r="L200" s="29"/>
      <c r="M200" s="29"/>
      <c r="N200" s="29"/>
      <c r="O200" s="52"/>
      <c r="P200" s="52"/>
      <c r="Q200" s="52"/>
      <c r="R200" s="53"/>
      <c r="S200" s="52"/>
      <c r="T200" s="52"/>
      <c r="U200" s="29"/>
      <c r="V200" s="54"/>
      <c r="W200" s="54"/>
    </row>
    <row r="201" ht="15.75" customHeight="1">
      <c r="A201" s="29"/>
      <c r="B201" s="16"/>
      <c r="C201" s="29"/>
      <c r="D201" s="29"/>
      <c r="E201" s="29"/>
      <c r="F201" s="29"/>
      <c r="G201" s="29"/>
      <c r="H201" s="41"/>
      <c r="I201" s="41"/>
      <c r="J201" s="51"/>
      <c r="K201" s="29"/>
      <c r="L201" s="29"/>
      <c r="M201" s="29"/>
      <c r="N201" s="29"/>
      <c r="O201" s="52"/>
      <c r="P201" s="52"/>
      <c r="Q201" s="52"/>
      <c r="R201" s="53"/>
      <c r="S201" s="52"/>
      <c r="T201" s="52"/>
      <c r="U201" s="29"/>
      <c r="V201" s="54"/>
      <c r="W201" s="54"/>
    </row>
    <row r="202" ht="15.75" customHeight="1">
      <c r="A202" s="29"/>
      <c r="B202" s="16"/>
      <c r="C202" s="29"/>
      <c r="D202" s="29"/>
      <c r="E202" s="29"/>
      <c r="F202" s="29"/>
      <c r="G202" s="29"/>
      <c r="H202" s="41"/>
      <c r="I202" s="41"/>
      <c r="J202" s="51"/>
      <c r="K202" s="29"/>
      <c r="L202" s="29"/>
      <c r="M202" s="29"/>
      <c r="N202" s="29"/>
      <c r="O202" s="52"/>
      <c r="P202" s="52"/>
      <c r="Q202" s="52"/>
      <c r="R202" s="53"/>
      <c r="S202" s="52"/>
      <c r="T202" s="52"/>
      <c r="U202" s="29"/>
      <c r="V202" s="54"/>
      <c r="W202" s="54"/>
    </row>
    <row r="203" ht="15.75" customHeight="1">
      <c r="A203" s="29"/>
      <c r="B203" s="16"/>
      <c r="C203" s="29"/>
      <c r="D203" s="29"/>
      <c r="E203" s="29"/>
      <c r="F203" s="29"/>
      <c r="G203" s="29"/>
      <c r="H203" s="41"/>
      <c r="I203" s="41"/>
      <c r="J203" s="51"/>
      <c r="K203" s="29"/>
      <c r="L203" s="29"/>
      <c r="M203" s="29"/>
      <c r="N203" s="29"/>
      <c r="O203" s="52"/>
      <c r="P203" s="52"/>
      <c r="Q203" s="52"/>
      <c r="R203" s="53"/>
      <c r="S203" s="52"/>
      <c r="T203" s="52"/>
      <c r="U203" s="29"/>
      <c r="V203" s="54"/>
      <c r="W203" s="54"/>
    </row>
    <row r="204" ht="15.75" customHeight="1">
      <c r="A204" s="29"/>
      <c r="B204" s="16"/>
      <c r="C204" s="29"/>
      <c r="D204" s="29"/>
      <c r="E204" s="29"/>
      <c r="F204" s="29"/>
      <c r="G204" s="29"/>
      <c r="H204" s="41"/>
      <c r="I204" s="41"/>
      <c r="J204" s="51"/>
      <c r="K204" s="29"/>
      <c r="L204" s="29"/>
      <c r="M204" s="29"/>
      <c r="N204" s="29"/>
      <c r="O204" s="52"/>
      <c r="P204" s="52"/>
      <c r="Q204" s="52"/>
      <c r="R204" s="53"/>
      <c r="S204" s="52"/>
      <c r="T204" s="52"/>
      <c r="U204" s="29"/>
      <c r="V204" s="54"/>
      <c r="W204" s="54"/>
    </row>
    <row r="205" ht="15.75" customHeight="1">
      <c r="A205" s="29"/>
      <c r="B205" s="16"/>
      <c r="C205" s="29"/>
      <c r="D205" s="29"/>
      <c r="E205" s="29"/>
      <c r="F205" s="29"/>
      <c r="G205" s="29"/>
      <c r="H205" s="41"/>
      <c r="I205" s="41"/>
      <c r="J205" s="51"/>
      <c r="K205" s="29"/>
      <c r="L205" s="29"/>
      <c r="M205" s="29"/>
      <c r="N205" s="29"/>
      <c r="O205" s="52"/>
      <c r="P205" s="52"/>
      <c r="Q205" s="52"/>
      <c r="R205" s="53"/>
      <c r="S205" s="52"/>
      <c r="T205" s="52"/>
      <c r="U205" s="29"/>
      <c r="V205" s="54"/>
      <c r="W205" s="54"/>
    </row>
    <row r="206" ht="15.75" customHeight="1">
      <c r="A206" s="29"/>
      <c r="B206" s="16"/>
      <c r="C206" s="29"/>
      <c r="D206" s="29"/>
      <c r="E206" s="29"/>
      <c r="F206" s="29"/>
      <c r="G206" s="29"/>
      <c r="H206" s="41"/>
      <c r="I206" s="41"/>
      <c r="J206" s="51"/>
      <c r="K206" s="29"/>
      <c r="L206" s="29"/>
      <c r="M206" s="29"/>
      <c r="N206" s="29"/>
      <c r="O206" s="52"/>
      <c r="P206" s="52"/>
      <c r="Q206" s="52"/>
      <c r="R206" s="53"/>
      <c r="S206" s="52"/>
      <c r="T206" s="52"/>
      <c r="U206" s="29"/>
      <c r="V206" s="54"/>
      <c r="W206" s="54"/>
    </row>
    <row r="207" ht="15.75" customHeight="1">
      <c r="A207" s="29"/>
      <c r="B207" s="16"/>
      <c r="C207" s="29"/>
      <c r="D207" s="29"/>
      <c r="E207" s="29"/>
      <c r="F207" s="29"/>
      <c r="G207" s="29"/>
      <c r="H207" s="41"/>
      <c r="I207" s="41"/>
      <c r="J207" s="51"/>
      <c r="K207" s="29"/>
      <c r="L207" s="29"/>
      <c r="M207" s="29"/>
      <c r="N207" s="29"/>
      <c r="O207" s="52"/>
      <c r="P207" s="52"/>
      <c r="Q207" s="52"/>
      <c r="R207" s="53"/>
      <c r="S207" s="52"/>
      <c r="T207" s="52"/>
      <c r="U207" s="29"/>
      <c r="V207" s="54"/>
      <c r="W207" s="54"/>
    </row>
    <row r="208" ht="15.75" customHeight="1">
      <c r="A208" s="29"/>
      <c r="B208" s="16"/>
      <c r="C208" s="29"/>
      <c r="D208" s="29"/>
      <c r="E208" s="29"/>
      <c r="F208" s="29"/>
      <c r="G208" s="29"/>
      <c r="H208" s="41"/>
      <c r="I208" s="41"/>
      <c r="J208" s="51"/>
      <c r="K208" s="29"/>
      <c r="L208" s="29"/>
      <c r="M208" s="29"/>
      <c r="N208" s="29"/>
      <c r="O208" s="52"/>
      <c r="P208" s="52"/>
      <c r="Q208" s="52"/>
      <c r="R208" s="53"/>
      <c r="S208" s="52"/>
      <c r="T208" s="52"/>
      <c r="U208" s="29"/>
      <c r="V208" s="54"/>
      <c r="W208" s="54"/>
    </row>
    <row r="209" ht="15.75" customHeight="1">
      <c r="A209" s="29"/>
      <c r="B209" s="16"/>
      <c r="C209" s="29"/>
      <c r="D209" s="29"/>
      <c r="E209" s="29"/>
      <c r="F209" s="29"/>
      <c r="G209" s="29"/>
      <c r="H209" s="41"/>
      <c r="I209" s="41"/>
      <c r="J209" s="51"/>
      <c r="K209" s="29"/>
      <c r="L209" s="29"/>
      <c r="M209" s="29"/>
      <c r="N209" s="29"/>
      <c r="O209" s="52"/>
      <c r="P209" s="52"/>
      <c r="Q209" s="52"/>
      <c r="R209" s="53"/>
      <c r="S209" s="52"/>
      <c r="T209" s="52"/>
      <c r="U209" s="29"/>
      <c r="V209" s="54"/>
      <c r="W209" s="54"/>
    </row>
    <row r="210" ht="15.75" customHeight="1">
      <c r="A210" s="29"/>
      <c r="B210" s="16"/>
      <c r="C210" s="29"/>
      <c r="D210" s="29"/>
      <c r="E210" s="29"/>
      <c r="F210" s="29"/>
      <c r="G210" s="29"/>
      <c r="H210" s="41"/>
      <c r="I210" s="41"/>
      <c r="J210" s="51"/>
      <c r="K210" s="29"/>
      <c r="L210" s="29"/>
      <c r="M210" s="29"/>
      <c r="N210" s="29"/>
      <c r="O210" s="52"/>
      <c r="P210" s="52"/>
      <c r="Q210" s="52"/>
      <c r="R210" s="53"/>
      <c r="S210" s="52"/>
      <c r="T210" s="52"/>
      <c r="U210" s="29"/>
      <c r="V210" s="54"/>
      <c r="W210" s="54"/>
    </row>
    <row r="211" ht="15.75" customHeight="1">
      <c r="A211" s="29"/>
      <c r="B211" s="16"/>
      <c r="C211" s="29"/>
      <c r="D211" s="29"/>
      <c r="E211" s="29"/>
      <c r="F211" s="29"/>
      <c r="G211" s="29"/>
      <c r="H211" s="41"/>
      <c r="I211" s="41"/>
      <c r="J211" s="51"/>
      <c r="K211" s="29"/>
      <c r="L211" s="29"/>
      <c r="M211" s="29"/>
      <c r="N211" s="29"/>
      <c r="O211" s="52"/>
      <c r="P211" s="52"/>
      <c r="Q211" s="52"/>
      <c r="R211" s="53"/>
      <c r="S211" s="52"/>
      <c r="T211" s="52"/>
      <c r="U211" s="29"/>
      <c r="V211" s="54"/>
      <c r="W211" s="54"/>
    </row>
    <row r="212" ht="15.75" customHeight="1">
      <c r="A212" s="29"/>
      <c r="B212" s="16"/>
      <c r="C212" s="29"/>
      <c r="D212" s="29"/>
      <c r="E212" s="29"/>
      <c r="F212" s="29"/>
      <c r="G212" s="29"/>
      <c r="H212" s="41"/>
      <c r="I212" s="41"/>
      <c r="J212" s="51"/>
      <c r="K212" s="29"/>
      <c r="L212" s="29"/>
      <c r="M212" s="29"/>
      <c r="N212" s="29"/>
      <c r="O212" s="52"/>
      <c r="P212" s="52"/>
      <c r="Q212" s="52"/>
      <c r="R212" s="53"/>
      <c r="S212" s="52"/>
      <c r="T212" s="52"/>
      <c r="U212" s="29"/>
      <c r="V212" s="54"/>
      <c r="W212" s="54"/>
    </row>
    <row r="213" ht="15.75" customHeight="1">
      <c r="A213" s="29"/>
      <c r="B213" s="16"/>
      <c r="C213" s="29"/>
      <c r="D213" s="29"/>
      <c r="E213" s="29"/>
      <c r="F213" s="29"/>
      <c r="G213" s="29"/>
      <c r="H213" s="41"/>
      <c r="I213" s="41"/>
      <c r="J213" s="51"/>
      <c r="K213" s="29"/>
      <c r="L213" s="29"/>
      <c r="M213" s="29"/>
      <c r="N213" s="29"/>
      <c r="O213" s="52"/>
      <c r="P213" s="52"/>
      <c r="Q213" s="52"/>
      <c r="R213" s="53"/>
      <c r="S213" s="52"/>
      <c r="T213" s="52"/>
      <c r="U213" s="29"/>
      <c r="V213" s="54"/>
      <c r="W213" s="54"/>
    </row>
    <row r="214" ht="15.75" customHeight="1">
      <c r="A214" s="29"/>
      <c r="B214" s="16"/>
      <c r="C214" s="29"/>
      <c r="D214" s="29"/>
      <c r="E214" s="29"/>
      <c r="F214" s="29"/>
      <c r="G214" s="29"/>
      <c r="H214" s="41"/>
      <c r="I214" s="41"/>
      <c r="J214" s="51"/>
      <c r="K214" s="29"/>
      <c r="L214" s="29"/>
      <c r="M214" s="29"/>
      <c r="N214" s="29"/>
      <c r="O214" s="52"/>
      <c r="P214" s="52"/>
      <c r="Q214" s="52"/>
      <c r="R214" s="53"/>
      <c r="S214" s="52"/>
      <c r="T214" s="52"/>
      <c r="U214" s="29"/>
      <c r="V214" s="54"/>
      <c r="W214" s="54"/>
    </row>
    <row r="215" ht="15.75" customHeight="1">
      <c r="A215" s="29"/>
      <c r="B215" s="16"/>
      <c r="C215" s="29"/>
      <c r="D215" s="29"/>
      <c r="E215" s="29"/>
      <c r="F215" s="29"/>
      <c r="G215" s="29"/>
      <c r="H215" s="41"/>
      <c r="I215" s="41"/>
      <c r="J215" s="51"/>
      <c r="K215" s="29"/>
      <c r="L215" s="29"/>
      <c r="M215" s="29"/>
      <c r="N215" s="29"/>
      <c r="O215" s="52"/>
      <c r="P215" s="52"/>
      <c r="Q215" s="52"/>
      <c r="R215" s="53"/>
      <c r="S215" s="52"/>
      <c r="T215" s="52"/>
      <c r="U215" s="29"/>
      <c r="V215" s="54"/>
      <c r="W215" s="54"/>
    </row>
    <row r="216" ht="15.75" customHeight="1">
      <c r="A216" s="29"/>
      <c r="B216" s="16"/>
      <c r="C216" s="29"/>
      <c r="D216" s="29"/>
      <c r="E216" s="29"/>
      <c r="F216" s="29"/>
      <c r="G216" s="29"/>
      <c r="H216" s="41"/>
      <c r="I216" s="41"/>
      <c r="J216" s="51"/>
      <c r="K216" s="29"/>
      <c r="L216" s="29"/>
      <c r="M216" s="29"/>
      <c r="N216" s="29"/>
      <c r="O216" s="52"/>
      <c r="P216" s="52"/>
      <c r="Q216" s="52"/>
      <c r="R216" s="53"/>
      <c r="S216" s="52"/>
      <c r="T216" s="52"/>
      <c r="U216" s="29"/>
      <c r="V216" s="54"/>
      <c r="W216" s="54"/>
    </row>
    <row r="217" ht="15.75" customHeight="1">
      <c r="A217" s="29"/>
      <c r="B217" s="16"/>
      <c r="C217" s="29"/>
      <c r="D217" s="29"/>
      <c r="E217" s="29"/>
      <c r="F217" s="29"/>
      <c r="G217" s="29"/>
      <c r="H217" s="41"/>
      <c r="I217" s="41"/>
      <c r="J217" s="51"/>
      <c r="K217" s="29"/>
      <c r="L217" s="29"/>
      <c r="M217" s="29"/>
      <c r="N217" s="29"/>
      <c r="O217" s="52"/>
      <c r="P217" s="52"/>
      <c r="Q217" s="52"/>
      <c r="R217" s="53"/>
      <c r="S217" s="52"/>
      <c r="T217" s="52"/>
      <c r="U217" s="29"/>
      <c r="V217" s="54"/>
      <c r="W217" s="54"/>
    </row>
    <row r="218" ht="15.75" customHeight="1">
      <c r="A218" s="29"/>
      <c r="B218" s="16"/>
      <c r="C218" s="29"/>
      <c r="D218" s="29"/>
      <c r="E218" s="29"/>
      <c r="F218" s="29"/>
      <c r="G218" s="29"/>
      <c r="H218" s="41"/>
      <c r="I218" s="41"/>
      <c r="J218" s="51"/>
      <c r="K218" s="29"/>
      <c r="L218" s="29"/>
      <c r="M218" s="29"/>
      <c r="N218" s="29"/>
      <c r="O218" s="52"/>
      <c r="P218" s="52"/>
      <c r="Q218" s="52"/>
      <c r="R218" s="53"/>
      <c r="S218" s="52"/>
      <c r="T218" s="52"/>
      <c r="U218" s="29"/>
      <c r="V218" s="54"/>
      <c r="W218" s="54"/>
    </row>
    <row r="219" ht="15.75" customHeight="1">
      <c r="A219" s="29"/>
      <c r="B219" s="16"/>
      <c r="C219" s="29"/>
      <c r="D219" s="29"/>
      <c r="E219" s="29"/>
      <c r="F219" s="29"/>
      <c r="G219" s="29"/>
      <c r="H219" s="41"/>
      <c r="I219" s="41"/>
      <c r="J219" s="51"/>
      <c r="K219" s="29"/>
      <c r="L219" s="29"/>
      <c r="M219" s="29"/>
      <c r="N219" s="29"/>
      <c r="O219" s="52"/>
      <c r="P219" s="52"/>
      <c r="Q219" s="52"/>
      <c r="R219" s="53"/>
      <c r="S219" s="52"/>
      <c r="T219" s="52"/>
      <c r="U219" s="29"/>
      <c r="V219" s="54"/>
      <c r="W219" s="54"/>
    </row>
    <row r="220" ht="15.75" customHeight="1">
      <c r="A220" s="29"/>
      <c r="B220" s="16"/>
      <c r="C220" s="29"/>
      <c r="D220" s="29"/>
      <c r="E220" s="29"/>
      <c r="F220" s="29"/>
      <c r="G220" s="29"/>
      <c r="H220" s="41"/>
      <c r="I220" s="41"/>
      <c r="J220" s="51"/>
      <c r="K220" s="29"/>
      <c r="L220" s="29"/>
      <c r="M220" s="29"/>
      <c r="N220" s="29"/>
      <c r="O220" s="52"/>
      <c r="P220" s="52"/>
      <c r="Q220" s="52"/>
      <c r="R220" s="53"/>
      <c r="S220" s="52"/>
      <c r="T220" s="52"/>
      <c r="U220" s="29"/>
      <c r="V220" s="54"/>
      <c r="W220" s="54"/>
    </row>
    <row r="221" ht="15.75" customHeight="1">
      <c r="A221" s="29"/>
      <c r="B221" s="16"/>
      <c r="C221" s="29"/>
      <c r="D221" s="29"/>
      <c r="E221" s="29"/>
      <c r="F221" s="29"/>
      <c r="G221" s="29"/>
      <c r="H221" s="41"/>
      <c r="I221" s="41"/>
      <c r="J221" s="51"/>
      <c r="K221" s="29"/>
      <c r="L221" s="29"/>
      <c r="M221" s="29"/>
      <c r="N221" s="29"/>
      <c r="O221" s="52"/>
      <c r="P221" s="52"/>
      <c r="Q221" s="52"/>
      <c r="R221" s="53"/>
      <c r="S221" s="52"/>
      <c r="T221" s="52"/>
      <c r="U221" s="29"/>
      <c r="V221" s="54"/>
      <c r="W221" s="54"/>
    </row>
    <row r="222" ht="15.75" customHeight="1">
      <c r="A222" s="29"/>
      <c r="B222" s="16"/>
      <c r="C222" s="29"/>
      <c r="D222" s="29"/>
      <c r="E222" s="29"/>
      <c r="F222" s="29"/>
      <c r="G222" s="29"/>
      <c r="H222" s="41"/>
      <c r="I222" s="41"/>
      <c r="J222" s="51"/>
      <c r="K222" s="29"/>
      <c r="L222" s="29"/>
      <c r="M222" s="29"/>
      <c r="N222" s="29"/>
      <c r="O222" s="52"/>
      <c r="P222" s="52"/>
      <c r="Q222" s="52"/>
      <c r="R222" s="53"/>
      <c r="S222" s="52"/>
      <c r="T222" s="52"/>
      <c r="U222" s="29"/>
      <c r="V222" s="54"/>
      <c r="W222" s="54"/>
    </row>
    <row r="223" ht="15.75" customHeight="1">
      <c r="A223" s="29"/>
      <c r="B223" s="16"/>
      <c r="C223" s="29"/>
      <c r="D223" s="29"/>
      <c r="E223" s="29"/>
      <c r="F223" s="29"/>
      <c r="G223" s="29"/>
      <c r="H223" s="41"/>
      <c r="I223" s="41"/>
      <c r="J223" s="51"/>
      <c r="K223" s="29"/>
      <c r="L223" s="29"/>
      <c r="M223" s="29"/>
      <c r="N223" s="29"/>
      <c r="O223" s="52"/>
      <c r="P223" s="52"/>
      <c r="Q223" s="52"/>
      <c r="R223" s="53"/>
      <c r="S223" s="52"/>
      <c r="T223" s="52"/>
      <c r="U223" s="29"/>
      <c r="V223" s="54"/>
      <c r="W223" s="54"/>
    </row>
    <row r="224" ht="15.75" customHeight="1">
      <c r="A224" s="29"/>
      <c r="B224" s="16"/>
      <c r="C224" s="29"/>
      <c r="D224" s="29"/>
      <c r="E224" s="29"/>
      <c r="F224" s="29"/>
      <c r="G224" s="29"/>
      <c r="H224" s="41"/>
      <c r="I224" s="41"/>
      <c r="J224" s="51"/>
      <c r="K224" s="29"/>
      <c r="L224" s="29"/>
      <c r="M224" s="29"/>
      <c r="N224" s="29"/>
      <c r="O224" s="52"/>
      <c r="P224" s="52"/>
      <c r="Q224" s="52"/>
      <c r="R224" s="53"/>
      <c r="S224" s="52"/>
      <c r="T224" s="52"/>
      <c r="U224" s="29"/>
      <c r="V224" s="54"/>
      <c r="W224" s="54"/>
    </row>
    <row r="225" ht="15.75" customHeight="1">
      <c r="A225" s="29"/>
      <c r="B225" s="16"/>
      <c r="C225" s="29"/>
      <c r="D225" s="29"/>
      <c r="E225" s="29"/>
      <c r="F225" s="29"/>
      <c r="G225" s="29"/>
      <c r="H225" s="41"/>
      <c r="I225" s="41"/>
      <c r="J225" s="51"/>
      <c r="K225" s="29"/>
      <c r="L225" s="29"/>
      <c r="M225" s="29"/>
      <c r="N225" s="29"/>
      <c r="O225" s="52"/>
      <c r="P225" s="52"/>
      <c r="Q225" s="52"/>
      <c r="R225" s="53"/>
      <c r="S225" s="52"/>
      <c r="T225" s="52"/>
      <c r="U225" s="29"/>
      <c r="V225" s="54"/>
      <c r="W225" s="54"/>
    </row>
    <row r="226" ht="15.75" customHeight="1">
      <c r="A226" s="29"/>
      <c r="B226" s="16"/>
      <c r="C226" s="29"/>
      <c r="D226" s="29"/>
      <c r="E226" s="29"/>
      <c r="F226" s="29"/>
      <c r="G226" s="29"/>
      <c r="H226" s="41"/>
      <c r="I226" s="41"/>
      <c r="J226" s="51"/>
      <c r="K226" s="29"/>
      <c r="L226" s="29"/>
      <c r="M226" s="29"/>
      <c r="N226" s="29"/>
      <c r="O226" s="52"/>
      <c r="P226" s="52"/>
      <c r="Q226" s="52"/>
      <c r="R226" s="53"/>
      <c r="S226" s="52"/>
      <c r="T226" s="52"/>
      <c r="U226" s="29"/>
      <c r="V226" s="54"/>
      <c r="W226" s="54"/>
    </row>
    <row r="227" ht="15.75" customHeight="1">
      <c r="A227" s="29"/>
      <c r="B227" s="16"/>
      <c r="C227" s="29"/>
      <c r="D227" s="29"/>
      <c r="E227" s="29"/>
      <c r="F227" s="29"/>
      <c r="G227" s="29"/>
      <c r="H227" s="41"/>
      <c r="I227" s="41"/>
      <c r="J227" s="51"/>
      <c r="K227" s="29"/>
      <c r="L227" s="29"/>
      <c r="M227" s="29"/>
      <c r="N227" s="29"/>
      <c r="O227" s="52"/>
      <c r="P227" s="52"/>
      <c r="Q227" s="52"/>
      <c r="R227" s="53"/>
      <c r="S227" s="52"/>
      <c r="T227" s="52"/>
      <c r="U227" s="29"/>
      <c r="V227" s="54"/>
      <c r="W227" s="54"/>
    </row>
    <row r="228" ht="15.75" customHeight="1">
      <c r="A228" s="29"/>
      <c r="B228" s="16"/>
      <c r="C228" s="29"/>
      <c r="D228" s="29"/>
      <c r="E228" s="29"/>
      <c r="F228" s="29"/>
      <c r="G228" s="29"/>
      <c r="H228" s="41"/>
      <c r="I228" s="41"/>
      <c r="J228" s="51"/>
      <c r="K228" s="29"/>
      <c r="L228" s="29"/>
      <c r="M228" s="29"/>
      <c r="N228" s="29"/>
      <c r="O228" s="52"/>
      <c r="P228" s="52"/>
      <c r="Q228" s="52"/>
      <c r="R228" s="53"/>
      <c r="S228" s="52"/>
      <c r="T228" s="52"/>
      <c r="U228" s="29"/>
      <c r="V228" s="54"/>
      <c r="W228" s="54"/>
    </row>
    <row r="229" ht="15.75" customHeight="1">
      <c r="A229" s="29"/>
      <c r="B229" s="16"/>
      <c r="C229" s="29"/>
      <c r="D229" s="29"/>
      <c r="E229" s="29"/>
      <c r="F229" s="29"/>
      <c r="G229" s="29"/>
      <c r="H229" s="41"/>
      <c r="I229" s="41"/>
      <c r="J229" s="51"/>
      <c r="K229" s="29"/>
      <c r="L229" s="29"/>
      <c r="M229" s="29"/>
      <c r="N229" s="29"/>
      <c r="O229" s="52"/>
      <c r="P229" s="52"/>
      <c r="Q229" s="52"/>
      <c r="R229" s="53"/>
      <c r="S229" s="52"/>
      <c r="T229" s="52"/>
      <c r="U229" s="29"/>
      <c r="V229" s="54"/>
      <c r="W229" s="54"/>
    </row>
    <row r="230" ht="15.75" customHeight="1">
      <c r="A230" s="29"/>
      <c r="B230" s="16"/>
      <c r="C230" s="29"/>
      <c r="D230" s="29"/>
      <c r="E230" s="29"/>
      <c r="F230" s="29"/>
      <c r="G230" s="29"/>
      <c r="H230" s="41"/>
      <c r="I230" s="41"/>
      <c r="J230" s="51"/>
      <c r="K230" s="29"/>
      <c r="L230" s="29"/>
      <c r="M230" s="29"/>
      <c r="N230" s="29"/>
      <c r="O230" s="52"/>
      <c r="P230" s="52"/>
      <c r="Q230" s="52"/>
      <c r="R230" s="53"/>
      <c r="S230" s="52"/>
      <c r="T230" s="52"/>
      <c r="U230" s="29"/>
      <c r="V230" s="54"/>
      <c r="W230" s="54"/>
    </row>
    <row r="231" ht="15.75" customHeight="1">
      <c r="A231" s="29"/>
      <c r="B231" s="16"/>
      <c r="C231" s="29"/>
      <c r="D231" s="29"/>
      <c r="E231" s="29"/>
      <c r="F231" s="29"/>
      <c r="G231" s="29"/>
      <c r="H231" s="41"/>
      <c r="I231" s="41"/>
      <c r="J231" s="51"/>
      <c r="K231" s="29"/>
      <c r="L231" s="29"/>
      <c r="M231" s="29"/>
      <c r="N231" s="29"/>
      <c r="O231" s="52"/>
      <c r="P231" s="52"/>
      <c r="Q231" s="52"/>
      <c r="R231" s="53"/>
      <c r="S231" s="52"/>
      <c r="T231" s="52"/>
      <c r="U231" s="29"/>
      <c r="V231" s="54"/>
      <c r="W231" s="54"/>
    </row>
    <row r="232" ht="15.75" customHeight="1">
      <c r="A232" s="29"/>
      <c r="B232" s="16"/>
      <c r="C232" s="29"/>
      <c r="D232" s="29"/>
      <c r="E232" s="29"/>
      <c r="F232" s="29"/>
      <c r="G232" s="29"/>
      <c r="H232" s="41"/>
      <c r="I232" s="41"/>
      <c r="J232" s="51"/>
      <c r="K232" s="29"/>
      <c r="L232" s="29"/>
      <c r="M232" s="29"/>
      <c r="N232" s="29"/>
      <c r="O232" s="52"/>
      <c r="P232" s="52"/>
      <c r="Q232" s="52"/>
      <c r="R232" s="53"/>
      <c r="S232" s="52"/>
      <c r="T232" s="52"/>
      <c r="U232" s="29"/>
      <c r="V232" s="54"/>
      <c r="W232" s="54"/>
    </row>
    <row r="233" ht="15.75" customHeight="1">
      <c r="A233" s="29"/>
      <c r="B233" s="16"/>
      <c r="C233" s="29"/>
      <c r="D233" s="29"/>
      <c r="E233" s="29"/>
      <c r="F233" s="29"/>
      <c r="G233" s="29"/>
      <c r="H233" s="41"/>
      <c r="I233" s="41"/>
      <c r="J233" s="51"/>
      <c r="K233" s="29"/>
      <c r="L233" s="29"/>
      <c r="M233" s="29"/>
      <c r="N233" s="29"/>
      <c r="O233" s="52"/>
      <c r="P233" s="52"/>
      <c r="Q233" s="52"/>
      <c r="R233" s="53"/>
      <c r="S233" s="52"/>
      <c r="T233" s="52"/>
      <c r="U233" s="29"/>
      <c r="V233" s="54"/>
      <c r="W233" s="54"/>
    </row>
    <row r="234" ht="15.75" customHeight="1">
      <c r="A234" s="29"/>
      <c r="B234" s="16"/>
      <c r="C234" s="29"/>
      <c r="D234" s="29"/>
      <c r="E234" s="29"/>
      <c r="F234" s="29"/>
      <c r="G234" s="29"/>
      <c r="H234" s="41"/>
      <c r="I234" s="41"/>
      <c r="J234" s="51"/>
      <c r="K234" s="29"/>
      <c r="L234" s="29"/>
      <c r="M234" s="29"/>
      <c r="N234" s="29"/>
      <c r="O234" s="52"/>
      <c r="P234" s="52"/>
      <c r="Q234" s="52"/>
      <c r="R234" s="53"/>
      <c r="S234" s="52"/>
      <c r="T234" s="52"/>
      <c r="U234" s="29"/>
      <c r="V234" s="54"/>
      <c r="W234" s="54"/>
    </row>
    <row r="235" ht="15.75" customHeight="1">
      <c r="A235" s="29"/>
      <c r="B235" s="16"/>
      <c r="C235" s="29"/>
      <c r="D235" s="29"/>
      <c r="E235" s="29"/>
      <c r="F235" s="29"/>
      <c r="G235" s="29"/>
      <c r="H235" s="41"/>
      <c r="I235" s="41"/>
      <c r="J235" s="51"/>
      <c r="K235" s="29"/>
      <c r="L235" s="29"/>
      <c r="M235" s="29"/>
      <c r="N235" s="29"/>
      <c r="O235" s="52"/>
      <c r="P235" s="52"/>
      <c r="Q235" s="52"/>
      <c r="R235" s="53"/>
      <c r="S235" s="52"/>
      <c r="T235" s="52"/>
      <c r="U235" s="29"/>
      <c r="V235" s="54"/>
      <c r="W235" s="54"/>
    </row>
    <row r="236" ht="15.75" customHeight="1">
      <c r="A236" s="29"/>
      <c r="B236" s="16"/>
      <c r="C236" s="29"/>
      <c r="D236" s="29"/>
      <c r="E236" s="29"/>
      <c r="F236" s="29"/>
      <c r="G236" s="29"/>
      <c r="H236" s="41"/>
      <c r="I236" s="41"/>
      <c r="J236" s="51"/>
      <c r="K236" s="29"/>
      <c r="L236" s="29"/>
      <c r="M236" s="29"/>
      <c r="N236" s="29"/>
      <c r="O236" s="52"/>
      <c r="P236" s="52"/>
      <c r="Q236" s="52"/>
      <c r="R236" s="53"/>
      <c r="S236" s="52"/>
      <c r="T236" s="52"/>
      <c r="U236" s="29"/>
      <c r="V236" s="54"/>
      <c r="W236" s="54"/>
    </row>
    <row r="237" ht="15.75" customHeight="1">
      <c r="A237" s="29"/>
      <c r="B237" s="16"/>
      <c r="C237" s="29"/>
      <c r="D237" s="29"/>
      <c r="E237" s="29"/>
      <c r="F237" s="29"/>
      <c r="G237" s="29"/>
      <c r="H237" s="41"/>
      <c r="I237" s="41"/>
      <c r="J237" s="51"/>
      <c r="K237" s="29"/>
      <c r="L237" s="29"/>
      <c r="M237" s="29"/>
      <c r="N237" s="29"/>
      <c r="O237" s="52"/>
      <c r="P237" s="52"/>
      <c r="Q237" s="52"/>
      <c r="R237" s="53"/>
      <c r="S237" s="52"/>
      <c r="T237" s="52"/>
      <c r="U237" s="29"/>
      <c r="V237" s="54"/>
      <c r="W237" s="54"/>
    </row>
    <row r="238" ht="15.75" customHeight="1">
      <c r="A238" s="29"/>
      <c r="B238" s="16"/>
      <c r="C238" s="29"/>
      <c r="D238" s="29"/>
      <c r="E238" s="29"/>
      <c r="F238" s="29"/>
      <c r="G238" s="29"/>
      <c r="H238" s="41"/>
      <c r="I238" s="41"/>
      <c r="J238" s="51"/>
      <c r="K238" s="29"/>
      <c r="L238" s="29"/>
      <c r="M238" s="29"/>
      <c r="N238" s="29"/>
      <c r="O238" s="52"/>
      <c r="P238" s="52"/>
      <c r="Q238" s="52"/>
      <c r="R238" s="53"/>
      <c r="S238" s="52"/>
      <c r="T238" s="52"/>
      <c r="U238" s="29"/>
      <c r="V238" s="54"/>
      <c r="W238" s="54"/>
    </row>
    <row r="239" ht="15.75" customHeight="1">
      <c r="A239" s="29"/>
      <c r="B239" s="16"/>
      <c r="C239" s="29"/>
      <c r="D239" s="29"/>
      <c r="E239" s="29"/>
      <c r="F239" s="29"/>
      <c r="G239" s="29"/>
      <c r="H239" s="41"/>
      <c r="I239" s="41"/>
      <c r="J239" s="51"/>
      <c r="K239" s="29"/>
      <c r="L239" s="29"/>
      <c r="M239" s="29"/>
      <c r="N239" s="29"/>
      <c r="O239" s="52"/>
      <c r="P239" s="52"/>
      <c r="Q239" s="52"/>
      <c r="R239" s="53"/>
      <c r="S239" s="52"/>
      <c r="T239" s="52"/>
      <c r="U239" s="29"/>
      <c r="V239" s="54"/>
      <c r="W239" s="54"/>
    </row>
    <row r="240" ht="15.75" customHeight="1">
      <c r="A240" s="29"/>
      <c r="B240" s="16"/>
      <c r="C240" s="29"/>
      <c r="D240" s="29"/>
      <c r="E240" s="29"/>
      <c r="F240" s="29"/>
      <c r="G240" s="29"/>
      <c r="H240" s="41"/>
      <c r="I240" s="41"/>
      <c r="J240" s="51"/>
      <c r="K240" s="29"/>
      <c r="L240" s="29"/>
      <c r="M240" s="29"/>
      <c r="N240" s="29"/>
      <c r="O240" s="52"/>
      <c r="P240" s="52"/>
      <c r="Q240" s="52"/>
      <c r="R240" s="53"/>
      <c r="S240" s="52"/>
      <c r="T240" s="52"/>
      <c r="U240" s="29"/>
      <c r="V240" s="54"/>
      <c r="W240" s="54"/>
    </row>
    <row r="241" ht="15.75" customHeight="1">
      <c r="A241" s="29"/>
      <c r="B241" s="16"/>
      <c r="C241" s="29"/>
      <c r="D241" s="29"/>
      <c r="E241" s="29"/>
      <c r="F241" s="29"/>
      <c r="G241" s="29"/>
      <c r="H241" s="41"/>
      <c r="I241" s="41"/>
      <c r="J241" s="51"/>
      <c r="K241" s="29"/>
      <c r="L241" s="29"/>
      <c r="M241" s="29"/>
      <c r="N241" s="29"/>
      <c r="O241" s="52"/>
      <c r="P241" s="52"/>
      <c r="Q241" s="52"/>
      <c r="R241" s="53"/>
      <c r="S241" s="52"/>
      <c r="T241" s="52"/>
      <c r="U241" s="29"/>
      <c r="V241" s="54"/>
      <c r="W241" s="54"/>
    </row>
    <row r="242" ht="15.75" customHeight="1">
      <c r="A242" s="29"/>
      <c r="B242" s="16"/>
      <c r="C242" s="29"/>
      <c r="D242" s="29"/>
      <c r="E242" s="29"/>
      <c r="F242" s="29"/>
      <c r="G242" s="29"/>
      <c r="H242" s="41"/>
      <c r="I242" s="41"/>
      <c r="J242" s="51"/>
      <c r="K242" s="29"/>
      <c r="L242" s="29"/>
      <c r="M242" s="29"/>
      <c r="N242" s="29"/>
      <c r="O242" s="52"/>
      <c r="P242" s="52"/>
      <c r="Q242" s="52"/>
      <c r="R242" s="53"/>
      <c r="S242" s="52"/>
      <c r="T242" s="52"/>
      <c r="U242" s="29"/>
      <c r="V242" s="54"/>
      <c r="W242" s="54"/>
    </row>
    <row r="243" ht="15.75" customHeight="1">
      <c r="A243" s="29"/>
      <c r="B243" s="16"/>
      <c r="C243" s="29"/>
      <c r="D243" s="29"/>
      <c r="E243" s="29"/>
      <c r="F243" s="29"/>
      <c r="G243" s="29"/>
      <c r="H243" s="41"/>
      <c r="I243" s="41"/>
      <c r="J243" s="51"/>
      <c r="K243" s="29"/>
      <c r="L243" s="29"/>
      <c r="M243" s="29"/>
      <c r="N243" s="29"/>
      <c r="O243" s="52"/>
      <c r="P243" s="52"/>
      <c r="Q243" s="52"/>
      <c r="R243" s="53"/>
      <c r="S243" s="52"/>
      <c r="T243" s="52"/>
      <c r="U243" s="29"/>
      <c r="V243" s="54"/>
      <c r="W243" s="54"/>
    </row>
    <row r="244" ht="15.75" customHeight="1">
      <c r="A244" s="29"/>
      <c r="B244" s="16"/>
      <c r="C244" s="29"/>
      <c r="D244" s="29"/>
      <c r="E244" s="29"/>
      <c r="F244" s="29"/>
      <c r="G244" s="29"/>
      <c r="H244" s="41"/>
      <c r="I244" s="41"/>
      <c r="J244" s="51"/>
      <c r="K244" s="29"/>
      <c r="L244" s="29"/>
      <c r="M244" s="29"/>
      <c r="N244" s="29"/>
      <c r="O244" s="52"/>
      <c r="P244" s="52"/>
      <c r="Q244" s="52"/>
      <c r="R244" s="53"/>
      <c r="S244" s="52"/>
      <c r="T244" s="52"/>
      <c r="U244" s="29"/>
      <c r="V244" s="54"/>
      <c r="W244" s="54"/>
    </row>
    <row r="245" ht="15.75" customHeight="1">
      <c r="A245" s="29"/>
      <c r="B245" s="16"/>
      <c r="C245" s="29"/>
      <c r="D245" s="29"/>
      <c r="E245" s="29"/>
      <c r="F245" s="29"/>
      <c r="G245" s="29"/>
      <c r="H245" s="41"/>
      <c r="I245" s="41"/>
      <c r="J245" s="51"/>
      <c r="K245" s="29"/>
      <c r="L245" s="29"/>
      <c r="M245" s="29"/>
      <c r="N245" s="29"/>
      <c r="O245" s="52"/>
      <c r="P245" s="52"/>
      <c r="Q245" s="52"/>
      <c r="R245" s="53"/>
      <c r="S245" s="52"/>
      <c r="T245" s="52"/>
      <c r="U245" s="29"/>
      <c r="V245" s="54"/>
      <c r="W245" s="54"/>
    </row>
    <row r="246" ht="15.75" customHeight="1">
      <c r="A246" s="29"/>
      <c r="B246" s="16"/>
      <c r="C246" s="29"/>
      <c r="D246" s="29"/>
      <c r="E246" s="29"/>
      <c r="F246" s="29"/>
      <c r="G246" s="29"/>
      <c r="H246" s="41"/>
      <c r="I246" s="41"/>
      <c r="J246" s="51"/>
      <c r="K246" s="29"/>
      <c r="L246" s="29"/>
      <c r="M246" s="29"/>
      <c r="N246" s="29"/>
      <c r="O246" s="52"/>
      <c r="P246" s="52"/>
      <c r="Q246" s="52"/>
      <c r="R246" s="53"/>
      <c r="S246" s="52"/>
      <c r="T246" s="52"/>
      <c r="U246" s="29"/>
      <c r="V246" s="54"/>
      <c r="W246" s="54"/>
    </row>
    <row r="247" ht="15.75" customHeight="1">
      <c r="A247" s="29"/>
      <c r="B247" s="16"/>
      <c r="C247" s="29"/>
      <c r="D247" s="29"/>
      <c r="E247" s="29"/>
      <c r="F247" s="29"/>
      <c r="G247" s="29"/>
      <c r="H247" s="41"/>
      <c r="I247" s="41"/>
      <c r="J247" s="51"/>
      <c r="K247" s="29"/>
      <c r="L247" s="29"/>
      <c r="M247" s="29"/>
      <c r="N247" s="29"/>
      <c r="O247" s="52"/>
      <c r="P247" s="52"/>
      <c r="Q247" s="52"/>
      <c r="R247" s="53"/>
      <c r="S247" s="52"/>
      <c r="T247" s="52"/>
      <c r="U247" s="29"/>
      <c r="V247" s="54"/>
      <c r="W247" s="54"/>
    </row>
    <row r="248" ht="15.75" customHeight="1">
      <c r="A248" s="29"/>
      <c r="B248" s="16"/>
      <c r="C248" s="29"/>
      <c r="D248" s="29"/>
      <c r="E248" s="29"/>
      <c r="F248" s="29"/>
      <c r="G248" s="29"/>
      <c r="H248" s="41"/>
      <c r="I248" s="41"/>
      <c r="J248" s="51"/>
      <c r="K248" s="29"/>
      <c r="L248" s="29"/>
      <c r="M248" s="29"/>
      <c r="N248" s="29"/>
      <c r="O248" s="52"/>
      <c r="P248" s="52"/>
      <c r="Q248" s="52"/>
      <c r="R248" s="53"/>
      <c r="S248" s="52"/>
      <c r="T248" s="52"/>
      <c r="U248" s="29"/>
      <c r="V248" s="54"/>
      <c r="W248" s="54"/>
    </row>
    <row r="249" ht="15.75" customHeight="1">
      <c r="A249" s="29"/>
      <c r="B249" s="16"/>
      <c r="C249" s="29"/>
      <c r="D249" s="29"/>
      <c r="E249" s="29"/>
      <c r="F249" s="29"/>
      <c r="G249" s="29"/>
      <c r="H249" s="41"/>
      <c r="I249" s="41"/>
      <c r="J249" s="51"/>
      <c r="K249" s="29"/>
      <c r="L249" s="29"/>
      <c r="M249" s="29"/>
      <c r="N249" s="29"/>
      <c r="O249" s="52"/>
      <c r="P249" s="52"/>
      <c r="Q249" s="52"/>
      <c r="R249" s="53"/>
      <c r="S249" s="52"/>
      <c r="T249" s="52"/>
      <c r="U249" s="29"/>
      <c r="V249" s="54"/>
      <c r="W249" s="54"/>
    </row>
    <row r="250" ht="15.75" customHeight="1">
      <c r="A250" s="29"/>
      <c r="B250" s="16"/>
      <c r="C250" s="29"/>
      <c r="D250" s="29"/>
      <c r="E250" s="29"/>
      <c r="F250" s="29"/>
      <c r="G250" s="29"/>
      <c r="H250" s="41"/>
      <c r="I250" s="41"/>
      <c r="J250" s="51"/>
      <c r="K250" s="29"/>
      <c r="L250" s="29"/>
      <c r="M250" s="29"/>
      <c r="N250" s="29"/>
      <c r="O250" s="52"/>
      <c r="P250" s="52"/>
      <c r="Q250" s="52"/>
      <c r="R250" s="53"/>
      <c r="S250" s="52"/>
      <c r="T250" s="52"/>
      <c r="U250" s="29"/>
      <c r="V250" s="54"/>
      <c r="W250" s="54"/>
    </row>
    <row r="251" ht="15.75" customHeight="1">
      <c r="A251" s="29"/>
      <c r="B251" s="16"/>
      <c r="C251" s="29"/>
      <c r="D251" s="29"/>
      <c r="E251" s="29"/>
      <c r="F251" s="29"/>
      <c r="G251" s="29"/>
      <c r="H251" s="41"/>
      <c r="I251" s="41"/>
      <c r="J251" s="51"/>
      <c r="K251" s="29"/>
      <c r="L251" s="29"/>
      <c r="M251" s="29"/>
      <c r="N251" s="29"/>
      <c r="O251" s="52"/>
      <c r="P251" s="52"/>
      <c r="Q251" s="52"/>
      <c r="R251" s="53"/>
      <c r="S251" s="52"/>
      <c r="T251" s="52"/>
      <c r="U251" s="29"/>
      <c r="V251" s="54"/>
      <c r="W251" s="54"/>
    </row>
    <row r="252" ht="15.75" customHeight="1">
      <c r="A252" s="29"/>
      <c r="B252" s="16"/>
      <c r="C252" s="29"/>
      <c r="D252" s="29"/>
      <c r="E252" s="29"/>
      <c r="F252" s="29"/>
      <c r="G252" s="29"/>
      <c r="H252" s="41"/>
      <c r="I252" s="41"/>
      <c r="J252" s="51"/>
      <c r="K252" s="29"/>
      <c r="L252" s="29"/>
      <c r="M252" s="29"/>
      <c r="N252" s="29"/>
      <c r="O252" s="52"/>
      <c r="P252" s="52"/>
      <c r="Q252" s="52"/>
      <c r="R252" s="53"/>
      <c r="S252" s="52"/>
      <c r="T252" s="52"/>
      <c r="U252" s="29"/>
      <c r="V252" s="54"/>
      <c r="W252" s="54"/>
    </row>
    <row r="253" ht="15.75" customHeight="1">
      <c r="A253" s="29"/>
      <c r="B253" s="16"/>
      <c r="C253" s="29"/>
      <c r="D253" s="29"/>
      <c r="E253" s="29"/>
      <c r="F253" s="29"/>
      <c r="G253" s="29"/>
      <c r="H253" s="41"/>
      <c r="I253" s="41"/>
      <c r="J253" s="51"/>
      <c r="K253" s="29"/>
      <c r="L253" s="29"/>
      <c r="M253" s="29"/>
      <c r="N253" s="29"/>
      <c r="O253" s="52"/>
      <c r="P253" s="52"/>
      <c r="Q253" s="52"/>
      <c r="R253" s="53"/>
      <c r="S253" s="52"/>
      <c r="T253" s="52"/>
      <c r="U253" s="29"/>
      <c r="V253" s="54"/>
      <c r="W253" s="54"/>
    </row>
    <row r="254" ht="15.75" customHeight="1">
      <c r="A254" s="29"/>
      <c r="B254" s="16"/>
      <c r="C254" s="29"/>
      <c r="D254" s="29"/>
      <c r="E254" s="29"/>
      <c r="F254" s="29"/>
      <c r="G254" s="29"/>
      <c r="H254" s="41"/>
      <c r="I254" s="41"/>
      <c r="J254" s="51"/>
      <c r="K254" s="29"/>
      <c r="L254" s="29"/>
      <c r="M254" s="29"/>
      <c r="N254" s="29"/>
      <c r="O254" s="52"/>
      <c r="P254" s="52"/>
      <c r="Q254" s="52"/>
      <c r="R254" s="53"/>
      <c r="S254" s="52"/>
      <c r="T254" s="52"/>
      <c r="U254" s="29"/>
      <c r="V254" s="54"/>
      <c r="W254" s="54"/>
    </row>
    <row r="255" ht="15.75" customHeight="1">
      <c r="A255" s="29"/>
      <c r="B255" s="16"/>
      <c r="C255" s="29"/>
      <c r="D255" s="29"/>
      <c r="E255" s="29"/>
      <c r="F255" s="29"/>
      <c r="G255" s="29"/>
      <c r="H255" s="41"/>
      <c r="I255" s="41"/>
      <c r="J255" s="51"/>
      <c r="K255" s="29"/>
      <c r="L255" s="29"/>
      <c r="M255" s="29"/>
      <c r="N255" s="29"/>
      <c r="O255" s="52"/>
      <c r="P255" s="52"/>
      <c r="Q255" s="52"/>
      <c r="R255" s="53"/>
      <c r="S255" s="52"/>
      <c r="T255" s="52"/>
      <c r="U255" s="29"/>
      <c r="V255" s="54"/>
      <c r="W255" s="54"/>
    </row>
    <row r="256" ht="15.75" customHeight="1">
      <c r="A256" s="29"/>
      <c r="B256" s="16"/>
      <c r="C256" s="29"/>
      <c r="D256" s="29"/>
      <c r="E256" s="29"/>
      <c r="F256" s="29"/>
      <c r="G256" s="29"/>
      <c r="H256" s="41"/>
      <c r="I256" s="41"/>
      <c r="J256" s="51"/>
      <c r="K256" s="29"/>
      <c r="L256" s="29"/>
      <c r="M256" s="29"/>
      <c r="N256" s="29"/>
      <c r="O256" s="52"/>
      <c r="P256" s="52"/>
      <c r="Q256" s="52"/>
      <c r="R256" s="53"/>
      <c r="S256" s="52"/>
      <c r="T256" s="52"/>
      <c r="U256" s="29"/>
      <c r="V256" s="54"/>
      <c r="W256" s="54"/>
    </row>
    <row r="257" ht="15.75" customHeight="1">
      <c r="A257" s="29"/>
      <c r="B257" s="16"/>
      <c r="C257" s="29"/>
      <c r="D257" s="29"/>
      <c r="E257" s="29"/>
      <c r="F257" s="29"/>
      <c r="G257" s="29"/>
      <c r="H257" s="41"/>
      <c r="I257" s="41"/>
      <c r="J257" s="51"/>
      <c r="K257" s="29"/>
      <c r="L257" s="29"/>
      <c r="M257" s="29"/>
      <c r="N257" s="29"/>
      <c r="O257" s="52"/>
      <c r="P257" s="52"/>
      <c r="Q257" s="52"/>
      <c r="R257" s="53"/>
      <c r="S257" s="52"/>
      <c r="T257" s="52"/>
      <c r="U257" s="29"/>
      <c r="V257" s="54"/>
      <c r="W257" s="54"/>
    </row>
    <row r="258" ht="15.75" customHeight="1">
      <c r="A258" s="29"/>
      <c r="B258" s="16"/>
      <c r="C258" s="29"/>
      <c r="D258" s="29"/>
      <c r="E258" s="29"/>
      <c r="F258" s="29"/>
      <c r="G258" s="29"/>
      <c r="H258" s="41"/>
      <c r="I258" s="41"/>
      <c r="J258" s="51"/>
      <c r="K258" s="29"/>
      <c r="L258" s="29"/>
      <c r="M258" s="29"/>
      <c r="N258" s="29"/>
      <c r="O258" s="52"/>
      <c r="P258" s="52"/>
      <c r="Q258" s="52"/>
      <c r="R258" s="53"/>
      <c r="S258" s="52"/>
      <c r="T258" s="52"/>
      <c r="U258" s="29"/>
      <c r="V258" s="54"/>
      <c r="W258" s="54"/>
    </row>
    <row r="259" ht="15.75" customHeight="1">
      <c r="A259" s="29"/>
      <c r="B259" s="16"/>
      <c r="C259" s="29"/>
      <c r="D259" s="29"/>
      <c r="E259" s="29"/>
      <c r="F259" s="29"/>
      <c r="G259" s="29"/>
      <c r="H259" s="41"/>
      <c r="I259" s="41"/>
      <c r="J259" s="51"/>
      <c r="K259" s="29"/>
      <c r="L259" s="29"/>
      <c r="M259" s="29"/>
      <c r="N259" s="29"/>
      <c r="O259" s="52"/>
      <c r="P259" s="52"/>
      <c r="Q259" s="52"/>
      <c r="R259" s="53"/>
      <c r="S259" s="52"/>
      <c r="T259" s="52"/>
      <c r="U259" s="29"/>
      <c r="V259" s="54"/>
      <c r="W259" s="54"/>
    </row>
    <row r="260" ht="15.75" customHeight="1">
      <c r="A260" s="29"/>
      <c r="B260" s="16"/>
      <c r="C260" s="29"/>
      <c r="D260" s="29"/>
      <c r="E260" s="29"/>
      <c r="F260" s="29"/>
      <c r="G260" s="29"/>
      <c r="H260" s="41"/>
      <c r="I260" s="41"/>
      <c r="J260" s="51"/>
      <c r="K260" s="29"/>
      <c r="L260" s="29"/>
      <c r="M260" s="29"/>
      <c r="N260" s="29"/>
      <c r="O260" s="52"/>
      <c r="P260" s="52"/>
      <c r="Q260" s="52"/>
      <c r="R260" s="53"/>
      <c r="S260" s="52"/>
      <c r="T260" s="52"/>
      <c r="U260" s="29"/>
      <c r="V260" s="54"/>
      <c r="W260" s="54"/>
    </row>
    <row r="261" ht="15.75" customHeight="1">
      <c r="A261" s="29"/>
      <c r="B261" s="16"/>
      <c r="C261" s="29"/>
      <c r="D261" s="29"/>
      <c r="E261" s="29"/>
      <c r="F261" s="29"/>
      <c r="G261" s="29"/>
      <c r="H261" s="41"/>
      <c r="I261" s="41"/>
      <c r="J261" s="51"/>
      <c r="K261" s="29"/>
      <c r="L261" s="29"/>
      <c r="M261" s="29"/>
      <c r="N261" s="29"/>
      <c r="O261" s="52"/>
      <c r="P261" s="52"/>
      <c r="Q261" s="52"/>
      <c r="R261" s="53"/>
      <c r="S261" s="52"/>
      <c r="T261" s="52"/>
      <c r="U261" s="29"/>
      <c r="V261" s="54"/>
      <c r="W261" s="54"/>
    </row>
    <row r="262" ht="15.75" customHeight="1">
      <c r="A262" s="29"/>
      <c r="B262" s="16"/>
      <c r="C262" s="29"/>
      <c r="D262" s="29"/>
      <c r="E262" s="29"/>
      <c r="F262" s="29"/>
      <c r="G262" s="29"/>
      <c r="H262" s="41"/>
      <c r="I262" s="41"/>
      <c r="J262" s="51"/>
      <c r="K262" s="29"/>
      <c r="L262" s="29"/>
      <c r="M262" s="29"/>
      <c r="N262" s="29"/>
      <c r="O262" s="52"/>
      <c r="P262" s="52"/>
      <c r="Q262" s="52"/>
      <c r="R262" s="53"/>
      <c r="S262" s="52"/>
      <c r="T262" s="52"/>
      <c r="U262" s="29"/>
      <c r="V262" s="54"/>
      <c r="W262" s="54"/>
    </row>
    <row r="263" ht="15.75" customHeight="1">
      <c r="A263" s="29"/>
      <c r="B263" s="16"/>
      <c r="C263" s="29"/>
      <c r="D263" s="29"/>
      <c r="E263" s="29"/>
      <c r="F263" s="29"/>
      <c r="G263" s="29"/>
      <c r="H263" s="41"/>
      <c r="I263" s="41"/>
      <c r="J263" s="51"/>
      <c r="K263" s="29"/>
      <c r="L263" s="29"/>
      <c r="M263" s="29"/>
      <c r="N263" s="29"/>
      <c r="O263" s="52"/>
      <c r="P263" s="52"/>
      <c r="Q263" s="52"/>
      <c r="R263" s="53"/>
      <c r="S263" s="52"/>
      <c r="T263" s="52"/>
      <c r="U263" s="29"/>
      <c r="V263" s="54"/>
      <c r="W263" s="54"/>
    </row>
    <row r="264" ht="15.75" customHeight="1">
      <c r="A264" s="29"/>
      <c r="B264" s="16"/>
      <c r="C264" s="29"/>
      <c r="D264" s="29"/>
      <c r="E264" s="29"/>
      <c r="F264" s="29"/>
      <c r="G264" s="29"/>
      <c r="H264" s="41"/>
      <c r="I264" s="41"/>
      <c r="J264" s="51"/>
      <c r="K264" s="29"/>
      <c r="L264" s="29"/>
      <c r="M264" s="29"/>
      <c r="N264" s="29"/>
      <c r="O264" s="52"/>
      <c r="P264" s="52"/>
      <c r="Q264" s="52"/>
      <c r="R264" s="53"/>
      <c r="S264" s="52"/>
      <c r="T264" s="52"/>
      <c r="U264" s="29"/>
      <c r="V264" s="54"/>
      <c r="W264" s="54"/>
    </row>
    <row r="265" ht="15.75" customHeight="1">
      <c r="A265" s="29"/>
      <c r="B265" s="16"/>
      <c r="C265" s="29"/>
      <c r="D265" s="29"/>
      <c r="E265" s="29"/>
      <c r="F265" s="29"/>
      <c r="G265" s="29"/>
      <c r="H265" s="41"/>
      <c r="I265" s="41"/>
      <c r="J265" s="51"/>
      <c r="K265" s="29"/>
      <c r="L265" s="29"/>
      <c r="M265" s="29"/>
      <c r="N265" s="29"/>
      <c r="O265" s="52"/>
      <c r="P265" s="52"/>
      <c r="Q265" s="52"/>
      <c r="R265" s="53"/>
      <c r="S265" s="52"/>
      <c r="T265" s="52"/>
      <c r="U265" s="29"/>
      <c r="V265" s="54"/>
      <c r="W265" s="54"/>
    </row>
    <row r="266" ht="15.75" customHeight="1">
      <c r="A266" s="29"/>
      <c r="B266" s="16"/>
      <c r="C266" s="29"/>
      <c r="D266" s="29"/>
      <c r="E266" s="29"/>
      <c r="F266" s="29"/>
      <c r="G266" s="29"/>
      <c r="H266" s="41"/>
      <c r="I266" s="41"/>
      <c r="J266" s="51"/>
      <c r="K266" s="29"/>
      <c r="L266" s="29"/>
      <c r="M266" s="29"/>
      <c r="N266" s="29"/>
      <c r="O266" s="52"/>
      <c r="P266" s="52"/>
      <c r="Q266" s="52"/>
      <c r="R266" s="53"/>
      <c r="S266" s="52"/>
      <c r="T266" s="52"/>
      <c r="U266" s="29"/>
      <c r="V266" s="54"/>
      <c r="W266" s="54"/>
    </row>
    <row r="267" ht="15.75" customHeight="1">
      <c r="A267" s="29"/>
      <c r="B267" s="16"/>
      <c r="C267" s="29"/>
      <c r="D267" s="29"/>
      <c r="E267" s="29"/>
      <c r="F267" s="29"/>
      <c r="G267" s="29"/>
      <c r="H267" s="41"/>
      <c r="I267" s="41"/>
      <c r="J267" s="51"/>
      <c r="K267" s="29"/>
      <c r="L267" s="29"/>
      <c r="M267" s="29"/>
      <c r="N267" s="29"/>
      <c r="O267" s="52"/>
      <c r="P267" s="52"/>
      <c r="Q267" s="52"/>
      <c r="R267" s="53"/>
      <c r="S267" s="52"/>
      <c r="T267" s="52"/>
      <c r="U267" s="29"/>
      <c r="V267" s="54"/>
      <c r="W267" s="54"/>
    </row>
    <row r="268" ht="15.75" customHeight="1">
      <c r="A268" s="29"/>
      <c r="B268" s="16"/>
      <c r="C268" s="29"/>
      <c r="D268" s="29"/>
      <c r="E268" s="29"/>
      <c r="F268" s="29"/>
      <c r="G268" s="29"/>
      <c r="H268" s="41"/>
      <c r="I268" s="41"/>
      <c r="J268" s="51"/>
      <c r="K268" s="29"/>
      <c r="L268" s="29"/>
      <c r="M268" s="29"/>
      <c r="N268" s="29"/>
      <c r="O268" s="52"/>
      <c r="P268" s="52"/>
      <c r="Q268" s="52"/>
      <c r="R268" s="53"/>
      <c r="S268" s="52"/>
      <c r="T268" s="52"/>
      <c r="U268" s="29"/>
      <c r="V268" s="54"/>
      <c r="W268" s="54"/>
    </row>
    <row r="269" ht="15.75" customHeight="1">
      <c r="A269" s="29"/>
      <c r="B269" s="16"/>
      <c r="C269" s="29"/>
      <c r="D269" s="29"/>
      <c r="E269" s="29"/>
      <c r="F269" s="29"/>
      <c r="G269" s="29"/>
      <c r="H269" s="41"/>
      <c r="I269" s="41"/>
      <c r="J269" s="51"/>
      <c r="K269" s="29"/>
      <c r="L269" s="29"/>
      <c r="M269" s="29"/>
      <c r="N269" s="29"/>
      <c r="O269" s="52"/>
      <c r="P269" s="52"/>
      <c r="Q269" s="52"/>
      <c r="R269" s="53"/>
      <c r="S269" s="52"/>
      <c r="T269" s="52"/>
      <c r="U269" s="29"/>
      <c r="V269" s="54"/>
      <c r="W269" s="54"/>
    </row>
    <row r="270" ht="15.75" customHeight="1">
      <c r="A270" s="29"/>
      <c r="B270" s="16"/>
      <c r="C270" s="29"/>
      <c r="D270" s="29"/>
      <c r="E270" s="29"/>
      <c r="F270" s="29"/>
      <c r="G270" s="29"/>
      <c r="H270" s="41"/>
      <c r="I270" s="41"/>
      <c r="J270" s="51"/>
      <c r="K270" s="29"/>
      <c r="L270" s="29"/>
      <c r="M270" s="29"/>
      <c r="N270" s="29"/>
      <c r="O270" s="52"/>
      <c r="P270" s="52"/>
      <c r="Q270" s="52"/>
      <c r="R270" s="53"/>
      <c r="S270" s="52"/>
      <c r="T270" s="52"/>
      <c r="U270" s="29"/>
      <c r="V270" s="54"/>
      <c r="W270" s="54"/>
    </row>
    <row r="271" ht="15.75" customHeight="1">
      <c r="A271" s="29"/>
      <c r="B271" s="16"/>
      <c r="C271" s="29"/>
      <c r="D271" s="29"/>
      <c r="E271" s="29"/>
      <c r="F271" s="29"/>
      <c r="G271" s="29"/>
      <c r="H271" s="41"/>
      <c r="I271" s="41"/>
      <c r="J271" s="51"/>
      <c r="K271" s="29"/>
      <c r="L271" s="29"/>
      <c r="M271" s="29"/>
      <c r="N271" s="29"/>
      <c r="O271" s="52"/>
      <c r="P271" s="52"/>
      <c r="Q271" s="52"/>
      <c r="R271" s="53"/>
      <c r="S271" s="52"/>
      <c r="T271" s="52"/>
      <c r="U271" s="29"/>
      <c r="V271" s="54"/>
      <c r="W271" s="54"/>
    </row>
    <row r="272" ht="15.75" customHeight="1">
      <c r="A272" s="29"/>
      <c r="B272" s="16"/>
      <c r="C272" s="29"/>
      <c r="D272" s="29"/>
      <c r="E272" s="29"/>
      <c r="F272" s="29"/>
      <c r="G272" s="29"/>
      <c r="H272" s="41"/>
      <c r="I272" s="41"/>
      <c r="J272" s="51"/>
      <c r="K272" s="29"/>
      <c r="L272" s="29"/>
      <c r="M272" s="29"/>
      <c r="N272" s="29"/>
      <c r="O272" s="52"/>
      <c r="P272" s="52"/>
      <c r="Q272" s="52"/>
      <c r="R272" s="53"/>
      <c r="S272" s="52"/>
      <c r="T272" s="52"/>
      <c r="U272" s="29"/>
      <c r="V272" s="54"/>
      <c r="W272" s="54"/>
    </row>
    <row r="273" ht="15.75" customHeight="1">
      <c r="A273" s="29"/>
      <c r="B273" s="16"/>
      <c r="C273" s="29"/>
      <c r="D273" s="29"/>
      <c r="E273" s="29"/>
      <c r="F273" s="29"/>
      <c r="G273" s="29"/>
      <c r="H273" s="41"/>
      <c r="I273" s="41"/>
      <c r="J273" s="51"/>
      <c r="K273" s="29"/>
      <c r="L273" s="29"/>
      <c r="M273" s="29"/>
      <c r="N273" s="29"/>
      <c r="O273" s="52"/>
      <c r="P273" s="52"/>
      <c r="Q273" s="52"/>
      <c r="R273" s="53"/>
      <c r="S273" s="52"/>
      <c r="T273" s="52"/>
      <c r="U273" s="29"/>
      <c r="V273" s="54"/>
      <c r="W273" s="54"/>
    </row>
    <row r="274" ht="15.75" customHeight="1">
      <c r="A274" s="29"/>
      <c r="B274" s="16"/>
      <c r="C274" s="29"/>
      <c r="D274" s="29"/>
      <c r="E274" s="29"/>
      <c r="F274" s="29"/>
      <c r="G274" s="29"/>
      <c r="H274" s="41"/>
      <c r="I274" s="41"/>
      <c r="J274" s="51"/>
      <c r="K274" s="29"/>
      <c r="L274" s="29"/>
      <c r="M274" s="29"/>
      <c r="N274" s="29"/>
      <c r="O274" s="52"/>
      <c r="P274" s="52"/>
      <c r="Q274" s="52"/>
      <c r="R274" s="53"/>
      <c r="S274" s="52"/>
      <c r="T274" s="52"/>
      <c r="U274" s="29"/>
      <c r="V274" s="54"/>
      <c r="W274" s="54"/>
    </row>
    <row r="275" ht="15.75" customHeight="1">
      <c r="A275" s="29"/>
      <c r="B275" s="16"/>
      <c r="C275" s="29"/>
      <c r="D275" s="29"/>
      <c r="E275" s="29"/>
      <c r="F275" s="29"/>
      <c r="G275" s="29"/>
      <c r="H275" s="41"/>
      <c r="I275" s="41"/>
      <c r="J275" s="51"/>
      <c r="K275" s="29"/>
      <c r="L275" s="29"/>
      <c r="M275" s="29"/>
      <c r="N275" s="29"/>
      <c r="O275" s="52"/>
      <c r="P275" s="52"/>
      <c r="Q275" s="52"/>
      <c r="R275" s="53"/>
      <c r="S275" s="52"/>
      <c r="T275" s="52"/>
      <c r="U275" s="29"/>
      <c r="V275" s="54"/>
      <c r="W275" s="54"/>
    </row>
    <row r="276" ht="15.75" customHeight="1">
      <c r="A276" s="29"/>
      <c r="B276" s="16"/>
      <c r="C276" s="29"/>
      <c r="D276" s="29"/>
      <c r="E276" s="29"/>
      <c r="F276" s="29"/>
      <c r="G276" s="29"/>
      <c r="H276" s="41"/>
      <c r="I276" s="41"/>
      <c r="J276" s="51"/>
      <c r="K276" s="29"/>
      <c r="L276" s="29"/>
      <c r="M276" s="29"/>
      <c r="N276" s="29"/>
      <c r="O276" s="52"/>
      <c r="P276" s="52"/>
      <c r="Q276" s="52"/>
      <c r="R276" s="53"/>
      <c r="S276" s="52"/>
      <c r="T276" s="52"/>
      <c r="U276" s="29"/>
      <c r="V276" s="54"/>
      <c r="W276" s="54"/>
    </row>
    <row r="277" ht="15.75" customHeight="1">
      <c r="A277" s="29"/>
      <c r="B277" s="16"/>
      <c r="C277" s="29"/>
      <c r="D277" s="29"/>
      <c r="E277" s="29"/>
      <c r="F277" s="29"/>
      <c r="G277" s="29"/>
      <c r="H277" s="41"/>
      <c r="I277" s="41"/>
      <c r="J277" s="51"/>
      <c r="K277" s="29"/>
      <c r="L277" s="29"/>
      <c r="M277" s="29"/>
      <c r="N277" s="29"/>
      <c r="O277" s="52"/>
      <c r="P277" s="52"/>
      <c r="Q277" s="52"/>
      <c r="R277" s="53"/>
      <c r="S277" s="52"/>
      <c r="T277" s="52"/>
      <c r="U277" s="29"/>
      <c r="V277" s="54"/>
      <c r="W277" s="54"/>
    </row>
    <row r="278" ht="15.75" customHeight="1">
      <c r="A278" s="29"/>
      <c r="B278" s="16"/>
      <c r="C278" s="29"/>
      <c r="D278" s="29"/>
      <c r="E278" s="29"/>
      <c r="F278" s="29"/>
      <c r="G278" s="29"/>
      <c r="H278" s="41"/>
      <c r="I278" s="41"/>
      <c r="J278" s="51"/>
      <c r="K278" s="29"/>
      <c r="L278" s="29"/>
      <c r="M278" s="29"/>
      <c r="N278" s="29"/>
      <c r="O278" s="52"/>
      <c r="P278" s="52"/>
      <c r="Q278" s="52"/>
      <c r="R278" s="53"/>
      <c r="S278" s="52"/>
      <c r="T278" s="52"/>
      <c r="U278" s="29"/>
      <c r="V278" s="54"/>
      <c r="W278" s="54"/>
    </row>
    <row r="279" ht="15.75" customHeight="1">
      <c r="A279" s="29"/>
      <c r="B279" s="16"/>
      <c r="C279" s="29"/>
      <c r="D279" s="29"/>
      <c r="E279" s="29"/>
      <c r="F279" s="29"/>
      <c r="G279" s="29"/>
      <c r="H279" s="41"/>
      <c r="I279" s="41"/>
      <c r="J279" s="51"/>
      <c r="K279" s="29"/>
      <c r="L279" s="29"/>
      <c r="M279" s="29"/>
      <c r="N279" s="29"/>
      <c r="O279" s="52"/>
      <c r="P279" s="52"/>
      <c r="Q279" s="52"/>
      <c r="R279" s="53"/>
      <c r="S279" s="52"/>
      <c r="T279" s="52"/>
      <c r="U279" s="29"/>
      <c r="V279" s="54"/>
      <c r="W279" s="54"/>
    </row>
    <row r="280" ht="15.75" customHeight="1">
      <c r="A280" s="29"/>
      <c r="B280" s="16"/>
      <c r="C280" s="29"/>
      <c r="D280" s="29"/>
      <c r="E280" s="29"/>
      <c r="F280" s="29"/>
      <c r="G280" s="29"/>
      <c r="H280" s="41"/>
      <c r="I280" s="41"/>
      <c r="J280" s="51"/>
      <c r="K280" s="29"/>
      <c r="L280" s="29"/>
      <c r="M280" s="29"/>
      <c r="N280" s="29"/>
      <c r="O280" s="52"/>
      <c r="P280" s="52"/>
      <c r="Q280" s="52"/>
      <c r="R280" s="53"/>
      <c r="S280" s="52"/>
      <c r="T280" s="52"/>
      <c r="U280" s="29"/>
      <c r="V280" s="54"/>
      <c r="W280" s="54"/>
    </row>
    <row r="281" ht="15.75" customHeight="1">
      <c r="A281" s="29"/>
      <c r="B281" s="16"/>
      <c r="C281" s="29"/>
      <c r="D281" s="29"/>
      <c r="E281" s="29"/>
      <c r="F281" s="29"/>
      <c r="G281" s="29"/>
      <c r="H281" s="41"/>
      <c r="I281" s="41"/>
      <c r="J281" s="51"/>
      <c r="K281" s="29"/>
      <c r="L281" s="29"/>
      <c r="M281" s="29"/>
      <c r="N281" s="29"/>
      <c r="O281" s="52"/>
      <c r="P281" s="52"/>
      <c r="Q281" s="52"/>
      <c r="R281" s="53"/>
      <c r="S281" s="52"/>
      <c r="T281" s="52"/>
      <c r="U281" s="29"/>
      <c r="V281" s="54"/>
      <c r="W281" s="54"/>
    </row>
    <row r="282" ht="15.75" customHeight="1">
      <c r="A282" s="29"/>
      <c r="B282" s="16"/>
      <c r="C282" s="29"/>
      <c r="D282" s="29"/>
      <c r="E282" s="29"/>
      <c r="F282" s="29"/>
      <c r="G282" s="29"/>
      <c r="H282" s="41"/>
      <c r="I282" s="41"/>
      <c r="J282" s="51"/>
      <c r="K282" s="29"/>
      <c r="L282" s="29"/>
      <c r="M282" s="29"/>
      <c r="N282" s="29"/>
      <c r="O282" s="52"/>
      <c r="P282" s="52"/>
      <c r="Q282" s="52"/>
      <c r="R282" s="53"/>
      <c r="S282" s="52"/>
      <c r="T282" s="52"/>
      <c r="U282" s="29"/>
      <c r="V282" s="54"/>
      <c r="W282" s="54"/>
    </row>
    <row r="283" ht="15.75" customHeight="1">
      <c r="A283" s="29"/>
      <c r="B283" s="16"/>
      <c r="C283" s="29"/>
      <c r="D283" s="29"/>
      <c r="E283" s="29"/>
      <c r="F283" s="29"/>
      <c r="G283" s="29"/>
      <c r="H283" s="41"/>
      <c r="I283" s="41"/>
      <c r="J283" s="51"/>
      <c r="K283" s="29"/>
      <c r="L283" s="29"/>
      <c r="M283" s="29"/>
      <c r="N283" s="29"/>
      <c r="O283" s="52"/>
      <c r="P283" s="52"/>
      <c r="Q283" s="52"/>
      <c r="R283" s="53"/>
      <c r="S283" s="52"/>
      <c r="T283" s="52"/>
      <c r="U283" s="29"/>
      <c r="V283" s="54"/>
      <c r="W283" s="54"/>
    </row>
    <row r="284" ht="15.75" customHeight="1">
      <c r="A284" s="29"/>
      <c r="B284" s="16"/>
      <c r="C284" s="29"/>
      <c r="D284" s="29"/>
      <c r="E284" s="29"/>
      <c r="F284" s="29"/>
      <c r="G284" s="29"/>
      <c r="H284" s="41"/>
      <c r="I284" s="41"/>
      <c r="J284" s="51"/>
      <c r="K284" s="29"/>
      <c r="L284" s="29"/>
      <c r="M284" s="29"/>
      <c r="N284" s="29"/>
      <c r="O284" s="52"/>
      <c r="P284" s="52"/>
      <c r="Q284" s="52"/>
      <c r="R284" s="53"/>
      <c r="S284" s="52"/>
      <c r="T284" s="52"/>
      <c r="U284" s="29"/>
      <c r="V284" s="54"/>
      <c r="W284" s="54"/>
    </row>
    <row r="285" ht="15.75" customHeight="1">
      <c r="A285" s="29"/>
      <c r="B285" s="16"/>
      <c r="C285" s="29"/>
      <c r="D285" s="29"/>
      <c r="E285" s="29"/>
      <c r="F285" s="29"/>
      <c r="G285" s="29"/>
      <c r="H285" s="41"/>
      <c r="I285" s="41"/>
      <c r="J285" s="51"/>
      <c r="K285" s="29"/>
      <c r="L285" s="29"/>
      <c r="M285" s="29"/>
      <c r="N285" s="29"/>
      <c r="O285" s="52"/>
      <c r="P285" s="52"/>
      <c r="Q285" s="52"/>
      <c r="R285" s="53"/>
      <c r="S285" s="52"/>
      <c r="T285" s="52"/>
      <c r="U285" s="29"/>
      <c r="V285" s="54"/>
      <c r="W285" s="54"/>
    </row>
    <row r="286" ht="15.75" customHeight="1">
      <c r="A286" s="29"/>
      <c r="B286" s="16"/>
      <c r="C286" s="29"/>
      <c r="D286" s="29"/>
      <c r="E286" s="29"/>
      <c r="F286" s="29"/>
      <c r="G286" s="29"/>
      <c r="H286" s="41"/>
      <c r="I286" s="41"/>
      <c r="J286" s="51"/>
      <c r="K286" s="29"/>
      <c r="L286" s="29"/>
      <c r="M286" s="29"/>
      <c r="N286" s="29"/>
      <c r="O286" s="52"/>
      <c r="P286" s="52"/>
      <c r="Q286" s="52"/>
      <c r="R286" s="53"/>
      <c r="S286" s="52"/>
      <c r="T286" s="52"/>
      <c r="U286" s="29"/>
      <c r="V286" s="54"/>
      <c r="W286" s="54"/>
    </row>
    <row r="287" ht="15.75" customHeight="1">
      <c r="A287" s="29"/>
      <c r="B287" s="16"/>
      <c r="C287" s="29"/>
      <c r="D287" s="29"/>
      <c r="E287" s="29"/>
      <c r="F287" s="29"/>
      <c r="G287" s="29"/>
      <c r="H287" s="41"/>
      <c r="I287" s="41"/>
      <c r="J287" s="51"/>
      <c r="K287" s="29"/>
      <c r="L287" s="29"/>
      <c r="M287" s="29"/>
      <c r="N287" s="29"/>
      <c r="O287" s="52"/>
      <c r="P287" s="52"/>
      <c r="Q287" s="52"/>
      <c r="R287" s="53"/>
      <c r="S287" s="52"/>
      <c r="T287" s="52"/>
      <c r="U287" s="29"/>
      <c r="V287" s="54"/>
      <c r="W287" s="54"/>
    </row>
    <row r="288" ht="15.75" customHeight="1">
      <c r="A288" s="29"/>
      <c r="B288" s="16"/>
      <c r="C288" s="29"/>
      <c r="D288" s="29"/>
      <c r="E288" s="29"/>
      <c r="F288" s="29"/>
      <c r="G288" s="29"/>
      <c r="H288" s="41"/>
      <c r="I288" s="41"/>
      <c r="J288" s="51"/>
      <c r="K288" s="29"/>
      <c r="L288" s="29"/>
      <c r="M288" s="29"/>
      <c r="N288" s="29"/>
      <c r="O288" s="52"/>
      <c r="P288" s="52"/>
      <c r="Q288" s="52"/>
      <c r="R288" s="53"/>
      <c r="S288" s="52"/>
      <c r="T288" s="52"/>
      <c r="U288" s="29"/>
      <c r="V288" s="54"/>
      <c r="W288" s="54"/>
    </row>
    <row r="289" ht="15.75" customHeight="1">
      <c r="A289" s="29"/>
      <c r="B289" s="16"/>
      <c r="C289" s="29"/>
      <c r="D289" s="29"/>
      <c r="E289" s="29"/>
      <c r="F289" s="29"/>
      <c r="G289" s="29"/>
      <c r="H289" s="41"/>
      <c r="I289" s="41"/>
      <c r="J289" s="51"/>
      <c r="K289" s="29"/>
      <c r="L289" s="29"/>
      <c r="M289" s="29"/>
      <c r="N289" s="29"/>
      <c r="O289" s="52"/>
      <c r="P289" s="52"/>
      <c r="Q289" s="52"/>
      <c r="R289" s="53"/>
      <c r="S289" s="52"/>
      <c r="T289" s="52"/>
      <c r="U289" s="29"/>
      <c r="V289" s="54"/>
      <c r="W289" s="54"/>
    </row>
    <row r="290" ht="15.75" customHeight="1">
      <c r="A290" s="29"/>
      <c r="B290" s="16"/>
      <c r="C290" s="29"/>
      <c r="D290" s="29"/>
      <c r="E290" s="29"/>
      <c r="F290" s="29"/>
      <c r="G290" s="29"/>
      <c r="H290" s="41"/>
      <c r="I290" s="41"/>
      <c r="J290" s="51"/>
      <c r="K290" s="29"/>
      <c r="L290" s="29"/>
      <c r="M290" s="29"/>
      <c r="N290" s="29"/>
      <c r="O290" s="52"/>
      <c r="P290" s="52"/>
      <c r="Q290" s="52"/>
      <c r="R290" s="53"/>
      <c r="S290" s="52"/>
      <c r="T290" s="52"/>
      <c r="U290" s="29"/>
      <c r="V290" s="54"/>
      <c r="W290" s="54"/>
    </row>
    <row r="291" ht="15.75" customHeight="1">
      <c r="A291" s="29"/>
      <c r="B291" s="16"/>
      <c r="C291" s="29"/>
      <c r="D291" s="29"/>
      <c r="E291" s="29"/>
      <c r="F291" s="29"/>
      <c r="G291" s="29"/>
      <c r="H291" s="41"/>
      <c r="I291" s="41"/>
      <c r="J291" s="51"/>
      <c r="K291" s="29"/>
      <c r="L291" s="29"/>
      <c r="M291" s="29"/>
      <c r="N291" s="29"/>
      <c r="O291" s="52"/>
      <c r="P291" s="52"/>
      <c r="Q291" s="52"/>
      <c r="R291" s="53"/>
      <c r="S291" s="52"/>
      <c r="T291" s="52"/>
      <c r="U291" s="29"/>
      <c r="V291" s="54"/>
      <c r="W291" s="54"/>
    </row>
    <row r="292" ht="15.75" customHeight="1">
      <c r="A292" s="29"/>
      <c r="B292" s="16"/>
      <c r="C292" s="29"/>
      <c r="D292" s="29"/>
      <c r="E292" s="29"/>
      <c r="F292" s="29"/>
      <c r="G292" s="29"/>
      <c r="H292" s="41"/>
      <c r="I292" s="41"/>
      <c r="J292" s="51"/>
      <c r="K292" s="29"/>
      <c r="L292" s="29"/>
      <c r="M292" s="29"/>
      <c r="N292" s="29"/>
      <c r="O292" s="52"/>
      <c r="P292" s="52"/>
      <c r="Q292" s="52"/>
      <c r="R292" s="53"/>
      <c r="S292" s="52"/>
      <c r="T292" s="52"/>
      <c r="U292" s="29"/>
      <c r="V292" s="54"/>
      <c r="W292" s="54"/>
    </row>
    <row r="293" ht="15.75" customHeight="1">
      <c r="A293" s="29"/>
      <c r="B293" s="16"/>
      <c r="C293" s="29"/>
      <c r="D293" s="29"/>
      <c r="E293" s="29"/>
      <c r="F293" s="29"/>
      <c r="G293" s="29"/>
      <c r="H293" s="41"/>
      <c r="I293" s="41"/>
      <c r="J293" s="51"/>
      <c r="K293" s="29"/>
      <c r="L293" s="29"/>
      <c r="M293" s="29"/>
      <c r="N293" s="29"/>
      <c r="O293" s="52"/>
      <c r="P293" s="52"/>
      <c r="Q293" s="52"/>
      <c r="R293" s="53"/>
      <c r="S293" s="52"/>
      <c r="T293" s="52"/>
      <c r="U293" s="29"/>
      <c r="V293" s="54"/>
      <c r="W293" s="54"/>
    </row>
    <row r="294" ht="15.75" customHeight="1">
      <c r="A294" s="29"/>
      <c r="B294" s="16"/>
      <c r="C294" s="29"/>
      <c r="D294" s="29"/>
      <c r="E294" s="29"/>
      <c r="F294" s="29"/>
      <c r="G294" s="29"/>
      <c r="H294" s="41"/>
      <c r="I294" s="41"/>
      <c r="J294" s="51"/>
      <c r="K294" s="29"/>
      <c r="L294" s="29"/>
      <c r="M294" s="29"/>
      <c r="N294" s="29"/>
      <c r="O294" s="52"/>
      <c r="P294" s="52"/>
      <c r="Q294" s="52"/>
      <c r="R294" s="53"/>
      <c r="S294" s="52"/>
      <c r="T294" s="52"/>
      <c r="U294" s="29"/>
      <c r="V294" s="54"/>
      <c r="W294" s="54"/>
    </row>
    <row r="295" ht="15.75" customHeight="1">
      <c r="A295" s="29"/>
      <c r="B295" s="16"/>
      <c r="C295" s="29"/>
      <c r="D295" s="29"/>
      <c r="E295" s="29"/>
      <c r="F295" s="29"/>
      <c r="G295" s="29"/>
      <c r="H295" s="41"/>
      <c r="I295" s="41"/>
      <c r="J295" s="51"/>
      <c r="K295" s="29"/>
      <c r="L295" s="29"/>
      <c r="M295" s="29"/>
      <c r="N295" s="29"/>
      <c r="O295" s="52"/>
      <c r="P295" s="52"/>
      <c r="Q295" s="52"/>
      <c r="R295" s="53"/>
      <c r="S295" s="52"/>
      <c r="T295" s="52"/>
      <c r="U295" s="29"/>
      <c r="V295" s="54"/>
      <c r="W295" s="54"/>
    </row>
    <row r="296" ht="15.75" customHeight="1">
      <c r="A296" s="29"/>
      <c r="B296" s="16"/>
      <c r="C296" s="29"/>
      <c r="D296" s="29"/>
      <c r="E296" s="29"/>
      <c r="F296" s="29"/>
      <c r="G296" s="29"/>
      <c r="H296" s="41"/>
      <c r="I296" s="41"/>
      <c r="J296" s="51"/>
      <c r="K296" s="29"/>
      <c r="L296" s="29"/>
      <c r="M296" s="29"/>
      <c r="N296" s="29"/>
      <c r="O296" s="52"/>
      <c r="P296" s="52"/>
      <c r="Q296" s="52"/>
      <c r="R296" s="53"/>
      <c r="S296" s="52"/>
      <c r="T296" s="52"/>
      <c r="U296" s="29"/>
      <c r="V296" s="54"/>
      <c r="W296" s="54"/>
    </row>
    <row r="297" ht="15.75" customHeight="1">
      <c r="A297" s="29"/>
      <c r="B297" s="16"/>
      <c r="C297" s="29"/>
      <c r="D297" s="29"/>
      <c r="E297" s="29"/>
      <c r="F297" s="29"/>
      <c r="G297" s="29"/>
      <c r="H297" s="41"/>
      <c r="I297" s="41"/>
      <c r="J297" s="51"/>
      <c r="K297" s="29"/>
      <c r="L297" s="29"/>
      <c r="M297" s="29"/>
      <c r="N297" s="29"/>
      <c r="O297" s="52"/>
      <c r="P297" s="52"/>
      <c r="Q297" s="52"/>
      <c r="R297" s="53"/>
      <c r="S297" s="52"/>
      <c r="T297" s="52"/>
      <c r="U297" s="29"/>
      <c r="V297" s="54"/>
      <c r="W297" s="54"/>
    </row>
    <row r="298" ht="15.75" customHeight="1">
      <c r="A298" s="29"/>
      <c r="B298" s="16"/>
      <c r="C298" s="29"/>
      <c r="D298" s="29"/>
      <c r="E298" s="29"/>
      <c r="F298" s="29"/>
      <c r="G298" s="29"/>
      <c r="H298" s="41"/>
      <c r="I298" s="41"/>
      <c r="J298" s="51"/>
      <c r="K298" s="29"/>
      <c r="L298" s="29"/>
      <c r="M298" s="29"/>
      <c r="N298" s="29"/>
      <c r="O298" s="52"/>
      <c r="P298" s="52"/>
      <c r="Q298" s="52"/>
      <c r="R298" s="53"/>
      <c r="S298" s="52"/>
      <c r="T298" s="52"/>
      <c r="U298" s="29"/>
      <c r="V298" s="54"/>
      <c r="W298" s="54"/>
    </row>
    <row r="299" ht="15.75" customHeight="1">
      <c r="A299" s="29"/>
      <c r="B299" s="16"/>
      <c r="C299" s="29"/>
      <c r="D299" s="29"/>
      <c r="E299" s="29"/>
      <c r="F299" s="29"/>
      <c r="G299" s="29"/>
      <c r="H299" s="41"/>
      <c r="I299" s="41"/>
      <c r="J299" s="51"/>
      <c r="K299" s="29"/>
      <c r="L299" s="29"/>
      <c r="M299" s="29"/>
      <c r="N299" s="29"/>
      <c r="O299" s="52"/>
      <c r="P299" s="52"/>
      <c r="Q299" s="52"/>
      <c r="R299" s="53"/>
      <c r="S299" s="52"/>
      <c r="T299" s="52"/>
      <c r="U299" s="29"/>
      <c r="V299" s="54"/>
      <c r="W299" s="54"/>
    </row>
    <row r="300" ht="15.75" customHeight="1">
      <c r="A300" s="29"/>
      <c r="B300" s="16"/>
      <c r="C300" s="29"/>
      <c r="D300" s="29"/>
      <c r="E300" s="29"/>
      <c r="F300" s="29"/>
      <c r="G300" s="29"/>
      <c r="H300" s="41"/>
      <c r="I300" s="41"/>
      <c r="J300" s="51"/>
      <c r="K300" s="29"/>
      <c r="L300" s="29"/>
      <c r="M300" s="29"/>
      <c r="N300" s="29"/>
      <c r="O300" s="52"/>
      <c r="P300" s="52"/>
      <c r="Q300" s="52"/>
      <c r="R300" s="53"/>
      <c r="S300" s="52"/>
      <c r="T300" s="52"/>
      <c r="U300" s="29"/>
      <c r="V300" s="54"/>
      <c r="W300" s="54"/>
    </row>
    <row r="301" ht="15.75" customHeight="1">
      <c r="A301" s="29"/>
      <c r="B301" s="16"/>
      <c r="C301" s="29"/>
      <c r="D301" s="29"/>
      <c r="E301" s="29"/>
      <c r="F301" s="29"/>
      <c r="G301" s="29"/>
      <c r="H301" s="41"/>
      <c r="I301" s="41"/>
      <c r="J301" s="51"/>
      <c r="K301" s="29"/>
      <c r="L301" s="29"/>
      <c r="M301" s="29"/>
      <c r="N301" s="29"/>
      <c r="O301" s="52"/>
      <c r="P301" s="52"/>
      <c r="Q301" s="52"/>
      <c r="R301" s="53"/>
      <c r="S301" s="52"/>
      <c r="T301" s="52"/>
      <c r="U301" s="29"/>
      <c r="V301" s="54"/>
      <c r="W301" s="54"/>
    </row>
    <row r="302" ht="15.75" customHeight="1">
      <c r="A302" s="29"/>
      <c r="B302" s="16"/>
      <c r="C302" s="29"/>
      <c r="D302" s="29"/>
      <c r="E302" s="29"/>
      <c r="F302" s="29"/>
      <c r="G302" s="29"/>
      <c r="H302" s="41"/>
      <c r="I302" s="41"/>
      <c r="J302" s="51"/>
      <c r="K302" s="29"/>
      <c r="L302" s="29"/>
      <c r="M302" s="29"/>
      <c r="N302" s="29"/>
      <c r="O302" s="52"/>
      <c r="P302" s="52"/>
      <c r="Q302" s="52"/>
      <c r="R302" s="53"/>
      <c r="S302" s="52"/>
      <c r="T302" s="52"/>
      <c r="U302" s="29"/>
      <c r="V302" s="54"/>
      <c r="W302" s="54"/>
    </row>
    <row r="303" ht="15.75" customHeight="1">
      <c r="A303" s="29"/>
      <c r="B303" s="16"/>
      <c r="C303" s="29"/>
      <c r="D303" s="29"/>
      <c r="E303" s="29"/>
      <c r="F303" s="29"/>
      <c r="G303" s="29"/>
      <c r="H303" s="41"/>
      <c r="I303" s="41"/>
      <c r="J303" s="51"/>
      <c r="K303" s="29"/>
      <c r="L303" s="29"/>
      <c r="M303" s="29"/>
      <c r="N303" s="29"/>
      <c r="O303" s="52"/>
      <c r="P303" s="52"/>
      <c r="Q303" s="52"/>
      <c r="R303" s="53"/>
      <c r="S303" s="52"/>
      <c r="T303" s="52"/>
      <c r="U303" s="29"/>
      <c r="V303" s="54"/>
      <c r="W303" s="54"/>
    </row>
    <row r="304" ht="15.75" customHeight="1">
      <c r="A304" s="29"/>
      <c r="B304" s="16"/>
      <c r="C304" s="29"/>
      <c r="D304" s="29"/>
      <c r="E304" s="29"/>
      <c r="F304" s="29"/>
      <c r="G304" s="29"/>
      <c r="H304" s="41"/>
      <c r="I304" s="41"/>
      <c r="J304" s="51"/>
      <c r="K304" s="29"/>
      <c r="L304" s="29"/>
      <c r="M304" s="29"/>
      <c r="N304" s="29"/>
      <c r="O304" s="52"/>
      <c r="P304" s="52"/>
      <c r="Q304" s="52"/>
      <c r="R304" s="53"/>
      <c r="S304" s="52"/>
      <c r="T304" s="52"/>
      <c r="U304" s="29"/>
      <c r="V304" s="54"/>
      <c r="W304" s="54"/>
    </row>
    <row r="305" ht="15.75" customHeight="1">
      <c r="A305" s="29"/>
      <c r="B305" s="16"/>
      <c r="C305" s="29"/>
      <c r="D305" s="29"/>
      <c r="E305" s="29"/>
      <c r="F305" s="29"/>
      <c r="G305" s="29"/>
      <c r="H305" s="41"/>
      <c r="I305" s="41"/>
      <c r="J305" s="51"/>
      <c r="K305" s="29"/>
      <c r="L305" s="29"/>
      <c r="M305" s="29"/>
      <c r="N305" s="29"/>
      <c r="O305" s="52"/>
      <c r="P305" s="52"/>
      <c r="Q305" s="52"/>
      <c r="R305" s="53"/>
      <c r="S305" s="52"/>
      <c r="T305" s="52"/>
      <c r="U305" s="29"/>
      <c r="V305" s="54"/>
      <c r="W305" s="54"/>
    </row>
    <row r="306" ht="15.75" customHeight="1">
      <c r="A306" s="29"/>
      <c r="B306" s="16"/>
      <c r="C306" s="29"/>
      <c r="D306" s="29"/>
      <c r="E306" s="29"/>
      <c r="F306" s="29"/>
      <c r="G306" s="29"/>
      <c r="H306" s="41"/>
      <c r="I306" s="41"/>
      <c r="J306" s="51"/>
      <c r="K306" s="29"/>
      <c r="L306" s="29"/>
      <c r="M306" s="29"/>
      <c r="N306" s="29"/>
      <c r="O306" s="52"/>
      <c r="P306" s="52"/>
      <c r="Q306" s="52"/>
      <c r="R306" s="53"/>
      <c r="S306" s="52"/>
      <c r="T306" s="52"/>
      <c r="U306" s="29"/>
      <c r="V306" s="54"/>
      <c r="W306" s="54"/>
    </row>
    <row r="307" ht="15.75" customHeight="1">
      <c r="A307" s="29"/>
      <c r="B307" s="16"/>
      <c r="C307" s="29"/>
      <c r="D307" s="29"/>
      <c r="E307" s="29"/>
      <c r="F307" s="29"/>
      <c r="G307" s="29"/>
      <c r="H307" s="41"/>
      <c r="I307" s="41"/>
      <c r="J307" s="51"/>
      <c r="K307" s="29"/>
      <c r="L307" s="29"/>
      <c r="M307" s="29"/>
      <c r="N307" s="29"/>
      <c r="O307" s="52"/>
      <c r="P307" s="52"/>
      <c r="Q307" s="52"/>
      <c r="R307" s="53"/>
      <c r="S307" s="52"/>
      <c r="T307" s="52"/>
      <c r="U307" s="29"/>
      <c r="V307" s="54"/>
      <c r="W307" s="54"/>
    </row>
    <row r="308" ht="15.75" customHeight="1">
      <c r="A308" s="29"/>
      <c r="B308" s="16"/>
      <c r="C308" s="29"/>
      <c r="D308" s="29"/>
      <c r="E308" s="29"/>
      <c r="F308" s="29"/>
      <c r="G308" s="29"/>
      <c r="H308" s="41"/>
      <c r="I308" s="41"/>
      <c r="J308" s="51"/>
      <c r="K308" s="29"/>
      <c r="L308" s="29"/>
      <c r="M308" s="29"/>
      <c r="N308" s="29"/>
      <c r="O308" s="52"/>
      <c r="P308" s="52"/>
      <c r="Q308" s="52"/>
      <c r="R308" s="53"/>
      <c r="S308" s="52"/>
      <c r="T308" s="52"/>
      <c r="U308" s="29"/>
      <c r="V308" s="54"/>
      <c r="W308" s="54"/>
    </row>
    <row r="309" ht="15.75" customHeight="1">
      <c r="A309" s="29"/>
      <c r="B309" s="16"/>
      <c r="C309" s="29"/>
      <c r="D309" s="29"/>
      <c r="E309" s="29"/>
      <c r="F309" s="29"/>
      <c r="G309" s="29"/>
      <c r="H309" s="41"/>
      <c r="I309" s="41"/>
      <c r="J309" s="51"/>
      <c r="K309" s="29"/>
      <c r="L309" s="29"/>
      <c r="M309" s="29"/>
      <c r="N309" s="29"/>
      <c r="O309" s="52"/>
      <c r="P309" s="52"/>
      <c r="Q309" s="52"/>
      <c r="R309" s="53"/>
      <c r="S309" s="52"/>
      <c r="T309" s="52"/>
      <c r="U309" s="29"/>
      <c r="V309" s="54"/>
      <c r="W309" s="54"/>
    </row>
    <row r="310" ht="15.75" customHeight="1">
      <c r="A310" s="29"/>
      <c r="B310" s="16"/>
      <c r="C310" s="29"/>
      <c r="D310" s="29"/>
      <c r="E310" s="29"/>
      <c r="F310" s="29"/>
      <c r="G310" s="29"/>
      <c r="H310" s="41"/>
      <c r="I310" s="41"/>
      <c r="J310" s="51"/>
      <c r="K310" s="29"/>
      <c r="L310" s="29"/>
      <c r="M310" s="29"/>
      <c r="N310" s="29"/>
      <c r="O310" s="52"/>
      <c r="P310" s="52"/>
      <c r="Q310" s="52"/>
      <c r="R310" s="53"/>
      <c r="S310" s="52"/>
      <c r="T310" s="52"/>
      <c r="U310" s="29"/>
      <c r="V310" s="54"/>
      <c r="W310" s="54"/>
    </row>
    <row r="311" ht="15.75" customHeight="1">
      <c r="A311" s="29"/>
      <c r="B311" s="16"/>
      <c r="C311" s="29"/>
      <c r="D311" s="29"/>
      <c r="E311" s="29"/>
      <c r="F311" s="29"/>
      <c r="G311" s="29"/>
      <c r="H311" s="41"/>
      <c r="I311" s="41"/>
      <c r="J311" s="51"/>
      <c r="K311" s="29"/>
      <c r="L311" s="29"/>
      <c r="M311" s="29"/>
      <c r="N311" s="29"/>
      <c r="O311" s="52"/>
      <c r="P311" s="52"/>
      <c r="Q311" s="52"/>
      <c r="R311" s="53"/>
      <c r="S311" s="52"/>
      <c r="T311" s="52"/>
      <c r="U311" s="29"/>
      <c r="V311" s="54"/>
      <c r="W311" s="54"/>
    </row>
    <row r="312" ht="15.75" customHeight="1">
      <c r="A312" s="29"/>
      <c r="B312" s="16"/>
      <c r="C312" s="29"/>
      <c r="D312" s="29"/>
      <c r="E312" s="29"/>
      <c r="F312" s="29"/>
      <c r="G312" s="29"/>
      <c r="H312" s="41"/>
      <c r="I312" s="41"/>
      <c r="J312" s="51"/>
      <c r="K312" s="29"/>
      <c r="L312" s="29"/>
      <c r="M312" s="29"/>
      <c r="N312" s="29"/>
      <c r="O312" s="52"/>
      <c r="P312" s="52"/>
      <c r="Q312" s="52"/>
      <c r="R312" s="53"/>
      <c r="S312" s="52"/>
      <c r="T312" s="52"/>
      <c r="U312" s="29"/>
      <c r="V312" s="54"/>
      <c r="W312" s="54"/>
    </row>
    <row r="313" ht="15.75" customHeight="1">
      <c r="A313" s="29"/>
      <c r="B313" s="16"/>
      <c r="C313" s="29"/>
      <c r="D313" s="29"/>
      <c r="E313" s="29"/>
      <c r="F313" s="29"/>
      <c r="G313" s="29"/>
      <c r="H313" s="41"/>
      <c r="I313" s="41"/>
      <c r="J313" s="51"/>
      <c r="K313" s="29"/>
      <c r="L313" s="29"/>
      <c r="M313" s="29"/>
      <c r="N313" s="29"/>
      <c r="O313" s="52"/>
      <c r="P313" s="52"/>
      <c r="Q313" s="52"/>
      <c r="R313" s="53"/>
      <c r="S313" s="52"/>
      <c r="T313" s="52"/>
      <c r="U313" s="29"/>
      <c r="V313" s="54"/>
      <c r="W313" s="54"/>
    </row>
    <row r="314" ht="15.75" customHeight="1">
      <c r="A314" s="29"/>
      <c r="B314" s="16"/>
      <c r="C314" s="29"/>
      <c r="D314" s="29"/>
      <c r="E314" s="29"/>
      <c r="F314" s="29"/>
      <c r="G314" s="29"/>
      <c r="H314" s="41"/>
      <c r="I314" s="41"/>
      <c r="J314" s="51"/>
      <c r="K314" s="29"/>
      <c r="L314" s="29"/>
      <c r="M314" s="29"/>
      <c r="N314" s="29"/>
      <c r="O314" s="52"/>
      <c r="P314" s="52"/>
      <c r="Q314" s="52"/>
      <c r="R314" s="53"/>
      <c r="S314" s="52"/>
      <c r="T314" s="52"/>
      <c r="U314" s="29"/>
      <c r="V314" s="54"/>
      <c r="W314" s="54"/>
    </row>
    <row r="315" ht="15.75" customHeight="1">
      <c r="A315" s="29"/>
      <c r="B315" s="16"/>
      <c r="C315" s="29"/>
      <c r="D315" s="29"/>
      <c r="E315" s="29"/>
      <c r="F315" s="29"/>
      <c r="G315" s="29"/>
      <c r="H315" s="41"/>
      <c r="I315" s="41"/>
      <c r="J315" s="51"/>
      <c r="K315" s="29"/>
      <c r="L315" s="29"/>
      <c r="M315" s="29"/>
      <c r="N315" s="29"/>
      <c r="O315" s="52"/>
      <c r="P315" s="52"/>
      <c r="Q315" s="52"/>
      <c r="R315" s="53"/>
      <c r="S315" s="52"/>
      <c r="T315" s="52"/>
      <c r="U315" s="29"/>
      <c r="V315" s="54"/>
      <c r="W315" s="54"/>
    </row>
    <row r="316" ht="15.75" customHeight="1">
      <c r="A316" s="29"/>
      <c r="B316" s="16"/>
      <c r="C316" s="29"/>
      <c r="D316" s="29"/>
      <c r="E316" s="29"/>
      <c r="F316" s="29"/>
      <c r="G316" s="29"/>
      <c r="H316" s="41"/>
      <c r="I316" s="41"/>
      <c r="J316" s="51"/>
      <c r="K316" s="29"/>
      <c r="L316" s="29"/>
      <c r="M316" s="29"/>
      <c r="N316" s="29"/>
      <c r="O316" s="52"/>
      <c r="P316" s="52"/>
      <c r="Q316" s="52"/>
      <c r="R316" s="53"/>
      <c r="S316" s="52"/>
      <c r="T316" s="52"/>
      <c r="U316" s="29"/>
      <c r="V316" s="54"/>
      <c r="W316" s="54"/>
    </row>
    <row r="317" ht="15.75" customHeight="1">
      <c r="A317" s="29"/>
      <c r="B317" s="16"/>
      <c r="C317" s="29"/>
      <c r="D317" s="29"/>
      <c r="E317" s="29"/>
      <c r="F317" s="29"/>
      <c r="G317" s="29"/>
      <c r="H317" s="41"/>
      <c r="I317" s="41"/>
      <c r="J317" s="51"/>
      <c r="K317" s="29"/>
      <c r="L317" s="29"/>
      <c r="M317" s="29"/>
      <c r="N317" s="29"/>
      <c r="O317" s="52"/>
      <c r="P317" s="52"/>
      <c r="Q317" s="52"/>
      <c r="R317" s="53"/>
      <c r="S317" s="52"/>
      <c r="T317" s="52"/>
      <c r="U317" s="29"/>
      <c r="V317" s="54"/>
      <c r="W317" s="54"/>
    </row>
    <row r="318" ht="15.75" customHeight="1">
      <c r="A318" s="29"/>
      <c r="B318" s="16"/>
      <c r="C318" s="29"/>
      <c r="D318" s="29"/>
      <c r="E318" s="29"/>
      <c r="F318" s="29"/>
      <c r="G318" s="29"/>
      <c r="H318" s="41"/>
      <c r="I318" s="41"/>
      <c r="J318" s="51"/>
      <c r="K318" s="29"/>
      <c r="L318" s="29"/>
      <c r="M318" s="29"/>
      <c r="N318" s="29"/>
      <c r="O318" s="52"/>
      <c r="P318" s="52"/>
      <c r="Q318" s="52"/>
      <c r="R318" s="53"/>
      <c r="S318" s="52"/>
      <c r="T318" s="52"/>
      <c r="U318" s="29"/>
      <c r="V318" s="54"/>
      <c r="W318" s="54"/>
    </row>
    <row r="319" ht="15.75" customHeight="1">
      <c r="A319" s="29"/>
      <c r="B319" s="16"/>
      <c r="C319" s="29"/>
      <c r="D319" s="29"/>
      <c r="E319" s="29"/>
      <c r="F319" s="29"/>
      <c r="G319" s="29"/>
      <c r="H319" s="41"/>
      <c r="I319" s="41"/>
      <c r="J319" s="51"/>
      <c r="K319" s="29"/>
      <c r="L319" s="29"/>
      <c r="M319" s="29"/>
      <c r="N319" s="29"/>
      <c r="O319" s="52"/>
      <c r="P319" s="52"/>
      <c r="Q319" s="52"/>
      <c r="R319" s="53"/>
      <c r="S319" s="52"/>
      <c r="T319" s="52"/>
      <c r="U319" s="29"/>
      <c r="V319" s="54"/>
      <c r="W319" s="54"/>
    </row>
    <row r="320" ht="15.75" customHeight="1">
      <c r="A320" s="29"/>
      <c r="B320" s="16"/>
      <c r="C320" s="29"/>
      <c r="D320" s="29"/>
      <c r="E320" s="29"/>
      <c r="F320" s="29"/>
      <c r="G320" s="29"/>
      <c r="H320" s="41"/>
      <c r="I320" s="41"/>
      <c r="J320" s="51"/>
      <c r="K320" s="29"/>
      <c r="L320" s="29"/>
      <c r="M320" s="29"/>
      <c r="N320" s="29"/>
      <c r="O320" s="52"/>
      <c r="P320" s="52"/>
      <c r="Q320" s="52"/>
      <c r="R320" s="53"/>
      <c r="S320" s="52"/>
      <c r="T320" s="52"/>
      <c r="U320" s="29"/>
      <c r="V320" s="54"/>
      <c r="W320" s="54"/>
    </row>
    <row r="321" ht="15.75" customHeight="1">
      <c r="A321" s="29"/>
      <c r="B321" s="16"/>
      <c r="C321" s="29"/>
      <c r="D321" s="29"/>
      <c r="E321" s="29"/>
      <c r="F321" s="29"/>
      <c r="G321" s="29"/>
      <c r="H321" s="41"/>
      <c r="I321" s="41"/>
      <c r="J321" s="51"/>
      <c r="K321" s="29"/>
      <c r="L321" s="29"/>
      <c r="M321" s="29"/>
      <c r="N321" s="29"/>
      <c r="O321" s="52"/>
      <c r="P321" s="52"/>
      <c r="Q321" s="52"/>
      <c r="R321" s="53"/>
      <c r="S321" s="52"/>
      <c r="T321" s="52"/>
      <c r="U321" s="29"/>
      <c r="V321" s="54"/>
      <c r="W321" s="54"/>
    </row>
    <row r="322" ht="15.75" customHeight="1">
      <c r="A322" s="29"/>
      <c r="B322" s="16"/>
      <c r="C322" s="29"/>
      <c r="D322" s="29"/>
      <c r="E322" s="29"/>
      <c r="F322" s="29"/>
      <c r="G322" s="29"/>
      <c r="H322" s="41"/>
      <c r="I322" s="41"/>
      <c r="J322" s="51"/>
      <c r="K322" s="29"/>
      <c r="L322" s="29"/>
      <c r="M322" s="29"/>
      <c r="N322" s="29"/>
      <c r="O322" s="52"/>
      <c r="P322" s="52"/>
      <c r="Q322" s="52"/>
      <c r="R322" s="53"/>
      <c r="S322" s="52"/>
      <c r="T322" s="52"/>
      <c r="U322" s="29"/>
      <c r="V322" s="54"/>
      <c r="W322" s="54"/>
    </row>
    <row r="323" ht="15.75" customHeight="1">
      <c r="A323" s="29"/>
      <c r="B323" s="16"/>
      <c r="C323" s="29"/>
      <c r="D323" s="29"/>
      <c r="E323" s="29"/>
      <c r="F323" s="29"/>
      <c r="G323" s="29"/>
      <c r="H323" s="41"/>
      <c r="I323" s="41"/>
      <c r="J323" s="51"/>
      <c r="K323" s="29"/>
      <c r="L323" s="29"/>
      <c r="M323" s="29"/>
      <c r="N323" s="29"/>
      <c r="O323" s="52"/>
      <c r="P323" s="52"/>
      <c r="Q323" s="52"/>
      <c r="R323" s="53"/>
      <c r="S323" s="52"/>
      <c r="T323" s="52"/>
      <c r="U323" s="29"/>
      <c r="V323" s="54"/>
      <c r="W323" s="54"/>
    </row>
    <row r="324" ht="15.75" customHeight="1">
      <c r="A324" s="29"/>
      <c r="B324" s="16"/>
      <c r="C324" s="29"/>
      <c r="D324" s="29"/>
      <c r="E324" s="29"/>
      <c r="F324" s="29"/>
      <c r="G324" s="29"/>
      <c r="H324" s="41"/>
      <c r="I324" s="41"/>
      <c r="J324" s="51"/>
      <c r="K324" s="29"/>
      <c r="L324" s="29"/>
      <c r="M324" s="29"/>
      <c r="N324" s="29"/>
      <c r="O324" s="52"/>
      <c r="P324" s="52"/>
      <c r="Q324" s="52"/>
      <c r="R324" s="53"/>
      <c r="S324" s="52"/>
      <c r="T324" s="52"/>
      <c r="U324" s="29"/>
      <c r="V324" s="54"/>
      <c r="W324" s="54"/>
    </row>
    <row r="325" ht="15.75" customHeight="1">
      <c r="A325" s="29"/>
      <c r="B325" s="16"/>
      <c r="C325" s="29"/>
      <c r="D325" s="29"/>
      <c r="E325" s="29"/>
      <c r="F325" s="29"/>
      <c r="G325" s="29"/>
      <c r="H325" s="41"/>
      <c r="I325" s="41"/>
      <c r="J325" s="51"/>
      <c r="K325" s="29"/>
      <c r="L325" s="29"/>
      <c r="M325" s="29"/>
      <c r="N325" s="29"/>
      <c r="O325" s="52"/>
      <c r="P325" s="52"/>
      <c r="Q325" s="52"/>
      <c r="R325" s="53"/>
      <c r="S325" s="52"/>
      <c r="T325" s="52"/>
      <c r="U325" s="29"/>
      <c r="V325" s="54"/>
      <c r="W325" s="54"/>
    </row>
    <row r="326" ht="15.75" customHeight="1">
      <c r="A326" s="29"/>
      <c r="B326" s="16"/>
      <c r="C326" s="29"/>
      <c r="D326" s="29"/>
      <c r="E326" s="29"/>
      <c r="F326" s="29"/>
      <c r="G326" s="29"/>
      <c r="H326" s="41"/>
      <c r="I326" s="41"/>
      <c r="J326" s="51"/>
      <c r="K326" s="29"/>
      <c r="L326" s="29"/>
      <c r="M326" s="29"/>
      <c r="N326" s="29"/>
      <c r="O326" s="52"/>
      <c r="P326" s="52"/>
      <c r="Q326" s="52"/>
      <c r="R326" s="53"/>
      <c r="S326" s="52"/>
      <c r="T326" s="52"/>
      <c r="U326" s="29"/>
      <c r="V326" s="54"/>
      <c r="W326" s="54"/>
    </row>
    <row r="327" ht="15.75" customHeight="1">
      <c r="A327" s="29"/>
      <c r="B327" s="16"/>
      <c r="C327" s="29"/>
      <c r="D327" s="29"/>
      <c r="E327" s="29"/>
      <c r="F327" s="29"/>
      <c r="G327" s="29"/>
      <c r="H327" s="41"/>
      <c r="I327" s="41"/>
      <c r="J327" s="51"/>
      <c r="K327" s="29"/>
      <c r="L327" s="29"/>
      <c r="M327" s="29"/>
      <c r="N327" s="29"/>
      <c r="O327" s="52"/>
      <c r="P327" s="52"/>
      <c r="Q327" s="52"/>
      <c r="R327" s="53"/>
      <c r="S327" s="52"/>
      <c r="T327" s="52"/>
      <c r="U327" s="29"/>
      <c r="V327" s="54"/>
      <c r="W327" s="54"/>
    </row>
    <row r="328" ht="15.75" customHeight="1">
      <c r="A328" s="29"/>
      <c r="B328" s="16"/>
      <c r="C328" s="29"/>
      <c r="D328" s="29"/>
      <c r="E328" s="29"/>
      <c r="F328" s="29"/>
      <c r="G328" s="29"/>
      <c r="H328" s="41"/>
      <c r="I328" s="41"/>
      <c r="J328" s="51"/>
      <c r="K328" s="29"/>
      <c r="L328" s="29"/>
      <c r="M328" s="29"/>
      <c r="N328" s="29"/>
      <c r="O328" s="52"/>
      <c r="P328" s="52"/>
      <c r="Q328" s="52"/>
      <c r="R328" s="53"/>
      <c r="S328" s="52"/>
      <c r="T328" s="52"/>
      <c r="U328" s="29"/>
      <c r="V328" s="54"/>
      <c r="W328" s="54"/>
    </row>
    <row r="329" ht="15.75" customHeight="1">
      <c r="A329" s="29"/>
      <c r="B329" s="16"/>
      <c r="C329" s="29"/>
      <c r="D329" s="29"/>
      <c r="E329" s="29"/>
      <c r="F329" s="29"/>
      <c r="G329" s="29"/>
      <c r="H329" s="41"/>
      <c r="I329" s="41"/>
      <c r="J329" s="51"/>
      <c r="K329" s="29"/>
      <c r="L329" s="29"/>
      <c r="M329" s="29"/>
      <c r="N329" s="29"/>
      <c r="O329" s="52"/>
      <c r="P329" s="52"/>
      <c r="Q329" s="52"/>
      <c r="R329" s="53"/>
      <c r="S329" s="52"/>
      <c r="T329" s="52"/>
      <c r="U329" s="29"/>
      <c r="V329" s="54"/>
      <c r="W329" s="54"/>
    </row>
    <row r="330" ht="15.75" customHeight="1">
      <c r="A330" s="29"/>
      <c r="B330" s="16"/>
      <c r="C330" s="29"/>
      <c r="D330" s="29"/>
      <c r="E330" s="29"/>
      <c r="F330" s="29"/>
      <c r="G330" s="29"/>
      <c r="H330" s="41"/>
      <c r="I330" s="41"/>
      <c r="J330" s="51"/>
      <c r="K330" s="29"/>
      <c r="L330" s="29"/>
      <c r="M330" s="29"/>
      <c r="N330" s="29"/>
      <c r="O330" s="52"/>
      <c r="P330" s="52"/>
      <c r="Q330" s="52"/>
      <c r="R330" s="53"/>
      <c r="S330" s="52"/>
      <c r="T330" s="52"/>
      <c r="U330" s="29"/>
      <c r="V330" s="54"/>
      <c r="W330" s="54"/>
    </row>
    <row r="331" ht="15.75" customHeight="1">
      <c r="A331" s="29"/>
      <c r="B331" s="16"/>
      <c r="C331" s="29"/>
      <c r="D331" s="29"/>
      <c r="E331" s="29"/>
      <c r="F331" s="29"/>
      <c r="G331" s="29"/>
      <c r="H331" s="41"/>
      <c r="I331" s="41"/>
      <c r="J331" s="51"/>
      <c r="K331" s="29"/>
      <c r="L331" s="29"/>
      <c r="M331" s="29"/>
      <c r="N331" s="29"/>
      <c r="O331" s="52"/>
      <c r="P331" s="52"/>
      <c r="Q331" s="52"/>
      <c r="R331" s="53"/>
      <c r="S331" s="52"/>
      <c r="T331" s="52"/>
      <c r="U331" s="29"/>
      <c r="V331" s="54"/>
      <c r="W331" s="54"/>
    </row>
    <row r="332" ht="15.75" customHeight="1">
      <c r="A332" s="29"/>
      <c r="B332" s="16"/>
      <c r="C332" s="29"/>
      <c r="D332" s="29"/>
      <c r="E332" s="29"/>
      <c r="F332" s="29"/>
      <c r="G332" s="29"/>
      <c r="H332" s="41"/>
      <c r="I332" s="41"/>
      <c r="J332" s="51"/>
      <c r="K332" s="29"/>
      <c r="L332" s="29"/>
      <c r="M332" s="29"/>
      <c r="N332" s="29"/>
      <c r="O332" s="52"/>
      <c r="P332" s="52"/>
      <c r="Q332" s="52"/>
      <c r="R332" s="53"/>
      <c r="S332" s="52"/>
      <c r="T332" s="52"/>
      <c r="U332" s="29"/>
      <c r="V332" s="54"/>
      <c r="W332" s="54"/>
    </row>
    <row r="333" ht="15.75" customHeight="1">
      <c r="A333" s="29"/>
      <c r="B333" s="16"/>
      <c r="C333" s="29"/>
      <c r="D333" s="29"/>
      <c r="E333" s="29"/>
      <c r="F333" s="29"/>
      <c r="G333" s="29"/>
      <c r="H333" s="41"/>
      <c r="I333" s="41"/>
      <c r="J333" s="51"/>
      <c r="K333" s="29"/>
      <c r="L333" s="29"/>
      <c r="M333" s="29"/>
      <c r="N333" s="29"/>
      <c r="O333" s="52"/>
      <c r="P333" s="52"/>
      <c r="Q333" s="52"/>
      <c r="R333" s="53"/>
      <c r="S333" s="52"/>
      <c r="T333" s="52"/>
      <c r="U333" s="29"/>
      <c r="V333" s="54"/>
      <c r="W333" s="54"/>
    </row>
    <row r="334" ht="15.75" customHeight="1">
      <c r="A334" s="29"/>
      <c r="B334" s="16"/>
      <c r="C334" s="29"/>
      <c r="D334" s="29"/>
      <c r="E334" s="29"/>
      <c r="F334" s="29"/>
      <c r="G334" s="29"/>
      <c r="H334" s="41"/>
      <c r="I334" s="41"/>
      <c r="J334" s="51"/>
      <c r="K334" s="29"/>
      <c r="L334" s="29"/>
      <c r="M334" s="29"/>
      <c r="N334" s="29"/>
      <c r="O334" s="52"/>
      <c r="P334" s="52"/>
      <c r="Q334" s="52"/>
      <c r="R334" s="53"/>
      <c r="S334" s="52"/>
      <c r="T334" s="52"/>
      <c r="U334" s="29"/>
      <c r="V334" s="54"/>
      <c r="W334" s="54"/>
    </row>
    <row r="335" ht="15.75" customHeight="1">
      <c r="A335" s="29"/>
      <c r="B335" s="16"/>
      <c r="C335" s="29"/>
      <c r="D335" s="29"/>
      <c r="E335" s="29"/>
      <c r="F335" s="29"/>
      <c r="G335" s="29"/>
      <c r="H335" s="41"/>
      <c r="I335" s="41"/>
      <c r="J335" s="51"/>
      <c r="K335" s="29"/>
      <c r="L335" s="29"/>
      <c r="M335" s="29"/>
      <c r="N335" s="29"/>
      <c r="O335" s="52"/>
      <c r="P335" s="52"/>
      <c r="Q335" s="52"/>
      <c r="R335" s="53"/>
      <c r="S335" s="52"/>
      <c r="T335" s="52"/>
      <c r="U335" s="29"/>
      <c r="V335" s="54"/>
      <c r="W335" s="54"/>
    </row>
    <row r="336" ht="15.75" customHeight="1">
      <c r="A336" s="29"/>
      <c r="B336" s="16"/>
      <c r="C336" s="29"/>
      <c r="D336" s="29"/>
      <c r="E336" s="29"/>
      <c r="F336" s="29"/>
      <c r="G336" s="29"/>
      <c r="H336" s="41"/>
      <c r="I336" s="41"/>
      <c r="J336" s="51"/>
      <c r="K336" s="29"/>
      <c r="L336" s="29"/>
      <c r="M336" s="29"/>
      <c r="N336" s="29"/>
      <c r="O336" s="52"/>
      <c r="P336" s="52"/>
      <c r="Q336" s="52"/>
      <c r="R336" s="53"/>
      <c r="S336" s="52"/>
      <c r="T336" s="52"/>
      <c r="U336" s="29"/>
      <c r="V336" s="54"/>
      <c r="W336" s="54"/>
    </row>
    <row r="337" ht="15.75" customHeight="1">
      <c r="A337" s="29"/>
      <c r="B337" s="16"/>
      <c r="C337" s="29"/>
      <c r="D337" s="29"/>
      <c r="E337" s="29"/>
      <c r="F337" s="29"/>
      <c r="G337" s="29"/>
      <c r="H337" s="41"/>
      <c r="I337" s="41"/>
      <c r="J337" s="51"/>
      <c r="K337" s="29"/>
      <c r="L337" s="29"/>
      <c r="M337" s="29"/>
      <c r="N337" s="29"/>
      <c r="O337" s="52"/>
      <c r="P337" s="52"/>
      <c r="Q337" s="52"/>
      <c r="R337" s="53"/>
      <c r="S337" s="52"/>
      <c r="T337" s="52"/>
      <c r="U337" s="29"/>
      <c r="V337" s="54"/>
      <c r="W337" s="54"/>
    </row>
    <row r="338" ht="15.75" customHeight="1">
      <c r="A338" s="29"/>
      <c r="B338" s="16"/>
      <c r="C338" s="29"/>
      <c r="D338" s="29"/>
      <c r="E338" s="29"/>
      <c r="F338" s="29"/>
      <c r="G338" s="29"/>
      <c r="H338" s="41"/>
      <c r="I338" s="41"/>
      <c r="J338" s="51"/>
      <c r="K338" s="29"/>
      <c r="L338" s="29"/>
      <c r="M338" s="29"/>
      <c r="N338" s="29"/>
      <c r="O338" s="52"/>
      <c r="P338" s="52"/>
      <c r="Q338" s="52"/>
      <c r="R338" s="53"/>
      <c r="S338" s="52"/>
      <c r="T338" s="52"/>
      <c r="U338" s="29"/>
      <c r="V338" s="54"/>
      <c r="W338" s="54"/>
    </row>
    <row r="339" ht="15.75" customHeight="1">
      <c r="A339" s="29"/>
      <c r="B339" s="16"/>
      <c r="C339" s="29"/>
      <c r="D339" s="29"/>
      <c r="E339" s="29"/>
      <c r="F339" s="29"/>
      <c r="G339" s="29"/>
      <c r="H339" s="41"/>
      <c r="I339" s="41"/>
      <c r="J339" s="51"/>
      <c r="K339" s="29"/>
      <c r="L339" s="29"/>
      <c r="M339" s="29"/>
      <c r="N339" s="29"/>
      <c r="O339" s="52"/>
      <c r="P339" s="52"/>
      <c r="Q339" s="52"/>
      <c r="R339" s="53"/>
      <c r="S339" s="52"/>
      <c r="T339" s="52"/>
      <c r="U339" s="29"/>
      <c r="V339" s="54"/>
      <c r="W339" s="54"/>
    </row>
    <row r="340" ht="15.75" customHeight="1">
      <c r="A340" s="29"/>
      <c r="B340" s="16"/>
      <c r="C340" s="29"/>
      <c r="D340" s="29"/>
      <c r="E340" s="29"/>
      <c r="F340" s="29"/>
      <c r="G340" s="29"/>
      <c r="H340" s="41"/>
      <c r="I340" s="41"/>
      <c r="J340" s="51"/>
      <c r="K340" s="29"/>
      <c r="L340" s="29"/>
      <c r="M340" s="29"/>
      <c r="N340" s="29"/>
      <c r="O340" s="52"/>
      <c r="P340" s="52"/>
      <c r="Q340" s="52"/>
      <c r="R340" s="53"/>
      <c r="S340" s="52"/>
      <c r="T340" s="52"/>
      <c r="U340" s="29"/>
      <c r="V340" s="54"/>
      <c r="W340" s="54"/>
    </row>
    <row r="341" ht="15.75" customHeight="1">
      <c r="A341" s="29"/>
      <c r="B341" s="16"/>
      <c r="C341" s="29"/>
      <c r="D341" s="29"/>
      <c r="E341" s="29"/>
      <c r="F341" s="29"/>
      <c r="G341" s="29"/>
      <c r="H341" s="41"/>
      <c r="I341" s="41"/>
      <c r="J341" s="51"/>
      <c r="K341" s="29"/>
      <c r="L341" s="29"/>
      <c r="M341" s="29"/>
      <c r="N341" s="29"/>
      <c r="O341" s="52"/>
      <c r="P341" s="52"/>
      <c r="Q341" s="52"/>
      <c r="R341" s="53"/>
      <c r="S341" s="52"/>
      <c r="T341" s="52"/>
      <c r="U341" s="29"/>
      <c r="V341" s="54"/>
      <c r="W341" s="54"/>
    </row>
    <row r="342" ht="15.75" customHeight="1">
      <c r="A342" s="29"/>
      <c r="B342" s="16"/>
      <c r="C342" s="29"/>
      <c r="D342" s="29"/>
      <c r="E342" s="29"/>
      <c r="F342" s="29"/>
      <c r="G342" s="29"/>
      <c r="H342" s="41"/>
      <c r="I342" s="41"/>
      <c r="J342" s="51"/>
      <c r="K342" s="29"/>
      <c r="L342" s="29"/>
      <c r="M342" s="29"/>
      <c r="N342" s="29"/>
      <c r="O342" s="52"/>
      <c r="P342" s="52"/>
      <c r="Q342" s="52"/>
      <c r="R342" s="53"/>
      <c r="S342" s="52"/>
      <c r="T342" s="52"/>
      <c r="U342" s="29"/>
      <c r="V342" s="54"/>
      <c r="W342" s="54"/>
    </row>
    <row r="343" ht="15.75" customHeight="1">
      <c r="A343" s="29"/>
      <c r="B343" s="16"/>
      <c r="C343" s="29"/>
      <c r="D343" s="29"/>
      <c r="E343" s="29"/>
      <c r="F343" s="29"/>
      <c r="G343" s="29"/>
      <c r="H343" s="41"/>
      <c r="I343" s="41"/>
      <c r="J343" s="51"/>
      <c r="K343" s="29"/>
      <c r="L343" s="29"/>
      <c r="M343" s="29"/>
      <c r="N343" s="29"/>
      <c r="O343" s="52"/>
      <c r="P343" s="52"/>
      <c r="Q343" s="52"/>
      <c r="R343" s="53"/>
      <c r="S343" s="52"/>
      <c r="T343" s="52"/>
      <c r="U343" s="29"/>
      <c r="V343" s="54"/>
      <c r="W343" s="54"/>
    </row>
    <row r="344" ht="15.75" customHeight="1">
      <c r="A344" s="29"/>
      <c r="B344" s="16"/>
      <c r="C344" s="29"/>
      <c r="D344" s="29"/>
      <c r="E344" s="29"/>
      <c r="F344" s="29"/>
      <c r="G344" s="29"/>
      <c r="H344" s="41"/>
      <c r="I344" s="41"/>
      <c r="J344" s="51"/>
      <c r="K344" s="29"/>
      <c r="L344" s="29"/>
      <c r="M344" s="29"/>
      <c r="N344" s="29"/>
      <c r="O344" s="52"/>
      <c r="P344" s="52"/>
      <c r="Q344" s="52"/>
      <c r="R344" s="53"/>
      <c r="S344" s="52"/>
      <c r="T344" s="52"/>
      <c r="U344" s="29"/>
      <c r="V344" s="54"/>
      <c r="W344" s="54"/>
    </row>
    <row r="345" ht="15.75" customHeight="1">
      <c r="A345" s="29"/>
      <c r="B345" s="16"/>
      <c r="C345" s="29"/>
      <c r="D345" s="29"/>
      <c r="E345" s="29"/>
      <c r="F345" s="29"/>
      <c r="G345" s="29"/>
      <c r="H345" s="41"/>
      <c r="I345" s="41"/>
      <c r="J345" s="51"/>
      <c r="K345" s="29"/>
      <c r="L345" s="29"/>
      <c r="M345" s="29"/>
      <c r="N345" s="29"/>
      <c r="O345" s="52"/>
      <c r="P345" s="52"/>
      <c r="Q345" s="52"/>
      <c r="R345" s="53"/>
      <c r="S345" s="52"/>
      <c r="T345" s="52"/>
      <c r="U345" s="29"/>
      <c r="V345" s="54"/>
      <c r="W345" s="54"/>
    </row>
    <row r="346" ht="15.75" customHeight="1">
      <c r="A346" s="29"/>
      <c r="B346" s="16"/>
      <c r="C346" s="29"/>
      <c r="D346" s="29"/>
      <c r="E346" s="29"/>
      <c r="F346" s="29"/>
      <c r="G346" s="29"/>
      <c r="H346" s="41"/>
      <c r="I346" s="41"/>
      <c r="J346" s="51"/>
      <c r="K346" s="29"/>
      <c r="L346" s="29"/>
      <c r="M346" s="29"/>
      <c r="N346" s="29"/>
      <c r="O346" s="52"/>
      <c r="P346" s="52"/>
      <c r="Q346" s="52"/>
      <c r="R346" s="53"/>
      <c r="S346" s="52"/>
      <c r="T346" s="52"/>
      <c r="U346" s="29"/>
      <c r="V346" s="54"/>
      <c r="W346" s="54"/>
    </row>
    <row r="347" ht="15.75" customHeight="1">
      <c r="A347" s="29"/>
      <c r="B347" s="16"/>
      <c r="C347" s="29"/>
      <c r="D347" s="29"/>
      <c r="E347" s="29"/>
      <c r="F347" s="29"/>
      <c r="G347" s="29"/>
      <c r="H347" s="41"/>
      <c r="I347" s="41"/>
      <c r="J347" s="51"/>
      <c r="K347" s="29"/>
      <c r="L347" s="29"/>
      <c r="M347" s="29"/>
      <c r="N347" s="29"/>
      <c r="O347" s="52"/>
      <c r="P347" s="52"/>
      <c r="Q347" s="52"/>
      <c r="R347" s="53"/>
      <c r="S347" s="52"/>
      <c r="T347" s="52"/>
      <c r="U347" s="29"/>
      <c r="V347" s="54"/>
      <c r="W347" s="54"/>
    </row>
    <row r="348" ht="15.75" customHeight="1">
      <c r="A348" s="29"/>
      <c r="B348" s="16"/>
      <c r="C348" s="29"/>
      <c r="D348" s="29"/>
      <c r="E348" s="29"/>
      <c r="F348" s="29"/>
      <c r="G348" s="29"/>
      <c r="H348" s="41"/>
      <c r="I348" s="41"/>
      <c r="J348" s="51"/>
      <c r="K348" s="29"/>
      <c r="L348" s="29"/>
      <c r="M348" s="29"/>
      <c r="N348" s="29"/>
      <c r="O348" s="52"/>
      <c r="P348" s="52"/>
      <c r="Q348" s="52"/>
      <c r="R348" s="53"/>
      <c r="S348" s="52"/>
      <c r="T348" s="52"/>
      <c r="U348" s="29"/>
      <c r="V348" s="54"/>
      <c r="W348" s="54"/>
    </row>
    <row r="349" ht="15.75" customHeight="1">
      <c r="A349" s="29"/>
      <c r="B349" s="16"/>
      <c r="C349" s="29"/>
      <c r="D349" s="29"/>
      <c r="E349" s="29"/>
      <c r="F349" s="29"/>
      <c r="G349" s="29"/>
      <c r="H349" s="41"/>
      <c r="I349" s="41"/>
      <c r="J349" s="51"/>
      <c r="K349" s="29"/>
      <c r="L349" s="29"/>
      <c r="M349" s="29"/>
      <c r="N349" s="29"/>
      <c r="O349" s="52"/>
      <c r="P349" s="52"/>
      <c r="Q349" s="52"/>
      <c r="R349" s="53"/>
      <c r="S349" s="52"/>
      <c r="T349" s="52"/>
      <c r="U349" s="29"/>
      <c r="V349" s="54"/>
      <c r="W349" s="54"/>
    </row>
    <row r="350" ht="15.75" customHeight="1">
      <c r="A350" s="29"/>
      <c r="B350" s="16"/>
      <c r="C350" s="29"/>
      <c r="D350" s="29"/>
      <c r="E350" s="29"/>
      <c r="F350" s="29"/>
      <c r="G350" s="29"/>
      <c r="H350" s="41"/>
      <c r="I350" s="41"/>
      <c r="J350" s="51"/>
      <c r="K350" s="29"/>
      <c r="L350" s="29"/>
      <c r="M350" s="29"/>
      <c r="N350" s="29"/>
      <c r="O350" s="52"/>
      <c r="P350" s="52"/>
      <c r="Q350" s="52"/>
      <c r="R350" s="53"/>
      <c r="S350" s="52"/>
      <c r="T350" s="52"/>
      <c r="U350" s="29"/>
      <c r="V350" s="54"/>
      <c r="W350" s="54"/>
    </row>
    <row r="351" ht="15.75" customHeight="1">
      <c r="A351" s="29"/>
      <c r="B351" s="16"/>
      <c r="C351" s="29"/>
      <c r="D351" s="29"/>
      <c r="E351" s="29"/>
      <c r="F351" s="29"/>
      <c r="G351" s="29"/>
      <c r="H351" s="41"/>
      <c r="I351" s="41"/>
      <c r="J351" s="51"/>
      <c r="K351" s="29"/>
      <c r="L351" s="29"/>
      <c r="M351" s="29"/>
      <c r="N351" s="29"/>
      <c r="O351" s="52"/>
      <c r="P351" s="52"/>
      <c r="Q351" s="52"/>
      <c r="R351" s="53"/>
      <c r="S351" s="52"/>
      <c r="T351" s="52"/>
      <c r="U351" s="29"/>
      <c r="V351" s="54"/>
      <c r="W351" s="54"/>
    </row>
    <row r="352" ht="15.75" customHeight="1">
      <c r="A352" s="29"/>
      <c r="B352" s="16"/>
      <c r="C352" s="29"/>
      <c r="D352" s="29"/>
      <c r="E352" s="29"/>
      <c r="F352" s="29"/>
      <c r="G352" s="29"/>
      <c r="H352" s="41"/>
      <c r="I352" s="41"/>
      <c r="J352" s="51"/>
      <c r="K352" s="29"/>
      <c r="L352" s="29"/>
      <c r="M352" s="29"/>
      <c r="N352" s="29"/>
      <c r="O352" s="52"/>
      <c r="P352" s="52"/>
      <c r="Q352" s="52"/>
      <c r="R352" s="53"/>
      <c r="S352" s="52"/>
      <c r="T352" s="52"/>
      <c r="U352" s="29"/>
      <c r="V352" s="54"/>
      <c r="W352" s="54"/>
    </row>
    <row r="353" ht="15.75" customHeight="1">
      <c r="A353" s="29"/>
      <c r="B353" s="16"/>
      <c r="C353" s="29"/>
      <c r="D353" s="29"/>
      <c r="E353" s="29"/>
      <c r="F353" s="29"/>
      <c r="G353" s="29"/>
      <c r="H353" s="41"/>
      <c r="I353" s="41"/>
      <c r="J353" s="51"/>
      <c r="K353" s="29"/>
      <c r="L353" s="29"/>
      <c r="M353" s="29"/>
      <c r="N353" s="29"/>
      <c r="O353" s="52"/>
      <c r="P353" s="52"/>
      <c r="Q353" s="52"/>
      <c r="R353" s="53"/>
      <c r="S353" s="52"/>
      <c r="T353" s="52"/>
      <c r="U353" s="29"/>
      <c r="V353" s="54"/>
      <c r="W353" s="54"/>
    </row>
    <row r="354" ht="15.75" customHeight="1">
      <c r="A354" s="29"/>
      <c r="B354" s="16"/>
      <c r="C354" s="29"/>
      <c r="D354" s="29"/>
      <c r="E354" s="29"/>
      <c r="F354" s="29"/>
      <c r="G354" s="29"/>
      <c r="H354" s="41"/>
      <c r="I354" s="41"/>
      <c r="J354" s="51"/>
      <c r="K354" s="29"/>
      <c r="L354" s="29"/>
      <c r="M354" s="29"/>
      <c r="N354" s="29"/>
      <c r="O354" s="52"/>
      <c r="P354" s="52"/>
      <c r="Q354" s="52"/>
      <c r="R354" s="53"/>
      <c r="S354" s="52"/>
      <c r="T354" s="52"/>
      <c r="U354" s="29"/>
      <c r="V354" s="54"/>
      <c r="W354" s="54"/>
    </row>
    <row r="355" ht="15.75" customHeight="1">
      <c r="A355" s="29"/>
      <c r="B355" s="16"/>
      <c r="C355" s="29"/>
      <c r="D355" s="29"/>
      <c r="E355" s="29"/>
      <c r="F355" s="29"/>
      <c r="G355" s="29"/>
      <c r="H355" s="41"/>
      <c r="I355" s="41"/>
      <c r="J355" s="51"/>
      <c r="K355" s="29"/>
      <c r="L355" s="29"/>
      <c r="M355" s="29"/>
      <c r="N355" s="29"/>
      <c r="O355" s="52"/>
      <c r="P355" s="52"/>
      <c r="Q355" s="52"/>
      <c r="R355" s="53"/>
      <c r="S355" s="52"/>
      <c r="T355" s="52"/>
      <c r="U355" s="29"/>
      <c r="V355" s="54"/>
      <c r="W355" s="54"/>
    </row>
    <row r="356" ht="15.75" customHeight="1">
      <c r="A356" s="29"/>
      <c r="B356" s="16"/>
      <c r="C356" s="29"/>
      <c r="D356" s="29"/>
      <c r="E356" s="29"/>
      <c r="F356" s="29"/>
      <c r="G356" s="29"/>
      <c r="H356" s="41"/>
      <c r="I356" s="41"/>
      <c r="J356" s="51"/>
      <c r="K356" s="29"/>
      <c r="L356" s="29"/>
      <c r="M356" s="29"/>
      <c r="N356" s="29"/>
      <c r="O356" s="52"/>
      <c r="P356" s="52"/>
      <c r="Q356" s="52"/>
      <c r="R356" s="53"/>
      <c r="S356" s="52"/>
      <c r="T356" s="52"/>
      <c r="U356" s="29"/>
      <c r="V356" s="54"/>
      <c r="W356" s="54"/>
    </row>
    <row r="357" ht="15.75" customHeight="1">
      <c r="A357" s="29"/>
      <c r="B357" s="16"/>
      <c r="C357" s="29"/>
      <c r="D357" s="29"/>
      <c r="E357" s="29"/>
      <c r="F357" s="29"/>
      <c r="G357" s="29"/>
      <c r="H357" s="41"/>
      <c r="I357" s="41"/>
      <c r="J357" s="51"/>
      <c r="K357" s="29"/>
      <c r="L357" s="29"/>
      <c r="M357" s="29"/>
      <c r="N357" s="29"/>
      <c r="O357" s="52"/>
      <c r="P357" s="52"/>
      <c r="Q357" s="52"/>
      <c r="R357" s="53"/>
      <c r="S357" s="52"/>
      <c r="T357" s="52"/>
      <c r="U357" s="29"/>
      <c r="V357" s="54"/>
      <c r="W357" s="54"/>
    </row>
    <row r="358" ht="15.75" customHeight="1">
      <c r="A358" s="29"/>
      <c r="B358" s="16"/>
      <c r="C358" s="29"/>
      <c r="D358" s="29"/>
      <c r="E358" s="29"/>
      <c r="F358" s="29"/>
      <c r="G358" s="29"/>
      <c r="H358" s="41"/>
      <c r="I358" s="41"/>
      <c r="J358" s="51"/>
      <c r="K358" s="29"/>
      <c r="L358" s="29"/>
      <c r="M358" s="29"/>
      <c r="N358" s="29"/>
      <c r="O358" s="52"/>
      <c r="P358" s="52"/>
      <c r="Q358" s="52"/>
      <c r="R358" s="53"/>
      <c r="S358" s="52"/>
      <c r="T358" s="52"/>
      <c r="U358" s="29"/>
      <c r="V358" s="54"/>
      <c r="W358" s="54"/>
    </row>
    <row r="359" ht="15.75" customHeight="1">
      <c r="A359" s="29"/>
      <c r="B359" s="16"/>
      <c r="C359" s="29"/>
      <c r="D359" s="29"/>
      <c r="E359" s="29"/>
      <c r="F359" s="29"/>
      <c r="G359" s="29"/>
      <c r="H359" s="41"/>
      <c r="I359" s="41"/>
      <c r="J359" s="51"/>
      <c r="K359" s="29"/>
      <c r="L359" s="29"/>
      <c r="M359" s="29"/>
      <c r="N359" s="29"/>
      <c r="O359" s="52"/>
      <c r="P359" s="52"/>
      <c r="Q359" s="52"/>
      <c r="R359" s="53"/>
      <c r="S359" s="52"/>
      <c r="T359" s="52"/>
      <c r="U359" s="29"/>
      <c r="V359" s="54"/>
      <c r="W359" s="54"/>
    </row>
    <row r="360" ht="15.75" customHeight="1">
      <c r="A360" s="29"/>
      <c r="B360" s="16"/>
      <c r="C360" s="29"/>
      <c r="D360" s="29"/>
      <c r="E360" s="29"/>
      <c r="F360" s="29"/>
      <c r="G360" s="29"/>
      <c r="H360" s="41"/>
      <c r="I360" s="41"/>
      <c r="J360" s="51"/>
      <c r="K360" s="29"/>
      <c r="L360" s="29"/>
      <c r="M360" s="29"/>
      <c r="N360" s="29"/>
      <c r="O360" s="52"/>
      <c r="P360" s="52"/>
      <c r="Q360" s="52"/>
      <c r="R360" s="53"/>
      <c r="S360" s="52"/>
      <c r="T360" s="52"/>
      <c r="U360" s="29"/>
      <c r="V360" s="54"/>
      <c r="W360" s="54"/>
    </row>
    <row r="361" ht="15.75" customHeight="1">
      <c r="A361" s="29"/>
      <c r="B361" s="16"/>
      <c r="C361" s="29"/>
      <c r="D361" s="29"/>
      <c r="E361" s="29"/>
      <c r="F361" s="29"/>
      <c r="G361" s="29"/>
      <c r="H361" s="41"/>
      <c r="I361" s="41"/>
      <c r="J361" s="51"/>
      <c r="K361" s="29"/>
      <c r="L361" s="29"/>
      <c r="M361" s="29"/>
      <c r="N361" s="29"/>
      <c r="O361" s="52"/>
      <c r="P361" s="52"/>
      <c r="Q361" s="52"/>
      <c r="R361" s="53"/>
      <c r="S361" s="52"/>
      <c r="T361" s="52"/>
      <c r="U361" s="29"/>
      <c r="V361" s="54"/>
      <c r="W361" s="54"/>
    </row>
    <row r="362" ht="15.75" customHeight="1">
      <c r="A362" s="29"/>
      <c r="B362" s="16"/>
      <c r="C362" s="29"/>
      <c r="D362" s="29"/>
      <c r="E362" s="29"/>
      <c r="F362" s="29"/>
      <c r="G362" s="29"/>
      <c r="H362" s="41"/>
      <c r="I362" s="41"/>
      <c r="J362" s="51"/>
      <c r="K362" s="29"/>
      <c r="L362" s="29"/>
      <c r="M362" s="29"/>
      <c r="N362" s="29"/>
      <c r="O362" s="52"/>
      <c r="P362" s="52"/>
      <c r="Q362" s="52"/>
      <c r="R362" s="53"/>
      <c r="S362" s="52"/>
      <c r="T362" s="52"/>
      <c r="U362" s="29"/>
      <c r="V362" s="54"/>
      <c r="W362" s="54"/>
    </row>
    <row r="363" ht="15.75" customHeight="1">
      <c r="A363" s="29"/>
      <c r="B363" s="16"/>
      <c r="C363" s="29"/>
      <c r="D363" s="29"/>
      <c r="E363" s="29"/>
      <c r="F363" s="29"/>
      <c r="G363" s="29"/>
      <c r="H363" s="41"/>
      <c r="I363" s="41"/>
      <c r="J363" s="51"/>
      <c r="K363" s="29"/>
      <c r="L363" s="29"/>
      <c r="M363" s="29"/>
      <c r="N363" s="29"/>
      <c r="O363" s="52"/>
      <c r="P363" s="52"/>
      <c r="Q363" s="52"/>
      <c r="R363" s="53"/>
      <c r="S363" s="52"/>
      <c r="T363" s="52"/>
      <c r="U363" s="29"/>
      <c r="V363" s="54"/>
      <c r="W363" s="54"/>
    </row>
    <row r="364" ht="15.75" customHeight="1">
      <c r="A364" s="29"/>
      <c r="B364" s="16"/>
      <c r="C364" s="29"/>
      <c r="D364" s="29"/>
      <c r="E364" s="29"/>
      <c r="F364" s="29"/>
      <c r="G364" s="29"/>
      <c r="H364" s="41"/>
      <c r="I364" s="41"/>
      <c r="J364" s="51"/>
      <c r="K364" s="29"/>
      <c r="L364" s="29"/>
      <c r="M364" s="29"/>
      <c r="N364" s="29"/>
      <c r="O364" s="52"/>
      <c r="P364" s="52"/>
      <c r="Q364" s="52"/>
      <c r="R364" s="53"/>
      <c r="S364" s="52"/>
      <c r="T364" s="52"/>
      <c r="U364" s="29"/>
      <c r="V364" s="54"/>
      <c r="W364" s="54"/>
    </row>
    <row r="365" ht="15.75" customHeight="1">
      <c r="A365" s="29"/>
      <c r="B365" s="16"/>
      <c r="C365" s="29"/>
      <c r="D365" s="29"/>
      <c r="E365" s="29"/>
      <c r="F365" s="29"/>
      <c r="G365" s="29"/>
      <c r="H365" s="41"/>
      <c r="I365" s="41"/>
      <c r="J365" s="51"/>
      <c r="K365" s="29"/>
      <c r="L365" s="29"/>
      <c r="M365" s="29"/>
      <c r="N365" s="29"/>
      <c r="O365" s="52"/>
      <c r="P365" s="52"/>
      <c r="Q365" s="52"/>
      <c r="R365" s="53"/>
      <c r="S365" s="52"/>
      <c r="T365" s="52"/>
      <c r="U365" s="29"/>
      <c r="V365" s="54"/>
      <c r="W365" s="54"/>
    </row>
    <row r="366" ht="15.75" customHeight="1">
      <c r="A366" s="29"/>
      <c r="B366" s="16"/>
      <c r="C366" s="29"/>
      <c r="D366" s="29"/>
      <c r="E366" s="29"/>
      <c r="F366" s="29"/>
      <c r="G366" s="29"/>
      <c r="H366" s="41"/>
      <c r="I366" s="41"/>
      <c r="J366" s="51"/>
      <c r="K366" s="29"/>
      <c r="L366" s="29"/>
      <c r="M366" s="29"/>
      <c r="N366" s="29"/>
      <c r="O366" s="52"/>
      <c r="P366" s="52"/>
      <c r="Q366" s="52"/>
      <c r="R366" s="53"/>
      <c r="S366" s="52"/>
      <c r="T366" s="52"/>
      <c r="U366" s="29"/>
      <c r="V366" s="54"/>
      <c r="W366" s="54"/>
    </row>
    <row r="367" ht="15.75" customHeight="1">
      <c r="A367" s="29"/>
      <c r="B367" s="16"/>
      <c r="C367" s="29"/>
      <c r="D367" s="29"/>
      <c r="E367" s="29"/>
      <c r="F367" s="29"/>
      <c r="G367" s="29"/>
      <c r="H367" s="41"/>
      <c r="I367" s="41"/>
      <c r="J367" s="51"/>
      <c r="K367" s="29"/>
      <c r="L367" s="29"/>
      <c r="M367" s="29"/>
      <c r="N367" s="29"/>
      <c r="O367" s="52"/>
      <c r="P367" s="52"/>
      <c r="Q367" s="52"/>
      <c r="R367" s="53"/>
      <c r="S367" s="52"/>
      <c r="T367" s="52"/>
      <c r="U367" s="29"/>
      <c r="V367" s="54"/>
      <c r="W367" s="54"/>
    </row>
    <row r="368" ht="15.75" customHeight="1">
      <c r="A368" s="29"/>
      <c r="B368" s="16"/>
      <c r="C368" s="29"/>
      <c r="D368" s="29"/>
      <c r="E368" s="29"/>
      <c r="F368" s="29"/>
      <c r="G368" s="29"/>
      <c r="H368" s="41"/>
      <c r="I368" s="41"/>
      <c r="J368" s="51"/>
      <c r="K368" s="29"/>
      <c r="L368" s="29"/>
      <c r="M368" s="29"/>
      <c r="N368" s="29"/>
      <c r="O368" s="52"/>
      <c r="P368" s="52"/>
      <c r="Q368" s="52"/>
      <c r="R368" s="53"/>
      <c r="S368" s="52"/>
      <c r="T368" s="52"/>
      <c r="U368" s="29"/>
      <c r="V368" s="54"/>
      <c r="W368" s="54"/>
    </row>
    <row r="369" ht="15.75" customHeight="1">
      <c r="A369" s="29"/>
      <c r="B369" s="16"/>
      <c r="C369" s="29"/>
      <c r="D369" s="29"/>
      <c r="E369" s="29"/>
      <c r="F369" s="29"/>
      <c r="G369" s="29"/>
      <c r="H369" s="41"/>
      <c r="I369" s="41"/>
      <c r="J369" s="51"/>
      <c r="K369" s="29"/>
      <c r="L369" s="29"/>
      <c r="M369" s="29"/>
      <c r="N369" s="29"/>
      <c r="O369" s="52"/>
      <c r="P369" s="52"/>
      <c r="Q369" s="52"/>
      <c r="R369" s="53"/>
      <c r="S369" s="52"/>
      <c r="T369" s="52"/>
      <c r="U369" s="29"/>
      <c r="V369" s="54"/>
      <c r="W369" s="54"/>
    </row>
    <row r="370" ht="15.75" customHeight="1">
      <c r="A370" s="29"/>
      <c r="B370" s="16"/>
      <c r="C370" s="29"/>
      <c r="D370" s="29"/>
      <c r="E370" s="29"/>
      <c r="F370" s="29"/>
      <c r="G370" s="29"/>
      <c r="H370" s="41"/>
      <c r="I370" s="41"/>
      <c r="J370" s="51"/>
      <c r="K370" s="29"/>
      <c r="L370" s="29"/>
      <c r="M370" s="29"/>
      <c r="N370" s="29"/>
      <c r="O370" s="52"/>
      <c r="P370" s="52"/>
      <c r="Q370" s="52"/>
      <c r="R370" s="53"/>
      <c r="S370" s="52"/>
      <c r="T370" s="52"/>
      <c r="U370" s="29"/>
      <c r="V370" s="54"/>
      <c r="W370" s="54"/>
    </row>
    <row r="371" ht="15.75" customHeight="1">
      <c r="A371" s="29"/>
      <c r="B371" s="16"/>
      <c r="C371" s="29"/>
      <c r="D371" s="29"/>
      <c r="E371" s="29"/>
      <c r="F371" s="29"/>
      <c r="G371" s="29"/>
      <c r="H371" s="41"/>
      <c r="I371" s="41"/>
      <c r="J371" s="51"/>
      <c r="K371" s="29"/>
      <c r="L371" s="29"/>
      <c r="M371" s="29"/>
      <c r="N371" s="29"/>
      <c r="O371" s="52"/>
      <c r="P371" s="52"/>
      <c r="Q371" s="52"/>
      <c r="R371" s="53"/>
      <c r="S371" s="52"/>
      <c r="T371" s="52"/>
      <c r="U371" s="29"/>
      <c r="V371" s="54"/>
      <c r="W371" s="54"/>
    </row>
    <row r="372" ht="15.75" customHeight="1">
      <c r="A372" s="29"/>
      <c r="B372" s="16"/>
      <c r="C372" s="29"/>
      <c r="D372" s="29"/>
      <c r="E372" s="29"/>
      <c r="F372" s="29"/>
      <c r="G372" s="29"/>
      <c r="H372" s="41"/>
      <c r="I372" s="41"/>
      <c r="J372" s="51"/>
      <c r="K372" s="29"/>
      <c r="L372" s="29"/>
      <c r="M372" s="29"/>
      <c r="N372" s="29"/>
      <c r="O372" s="52"/>
      <c r="P372" s="52"/>
      <c r="Q372" s="52"/>
      <c r="R372" s="53"/>
      <c r="S372" s="52"/>
      <c r="T372" s="52"/>
      <c r="U372" s="29"/>
      <c r="V372" s="54"/>
      <c r="W372" s="54"/>
    </row>
    <row r="373" ht="15.75" customHeight="1">
      <c r="A373" s="29"/>
      <c r="B373" s="16"/>
      <c r="C373" s="29"/>
      <c r="D373" s="29"/>
      <c r="E373" s="29"/>
      <c r="F373" s="29"/>
      <c r="G373" s="29"/>
      <c r="H373" s="41"/>
      <c r="I373" s="41"/>
      <c r="J373" s="51"/>
      <c r="K373" s="29"/>
      <c r="L373" s="29"/>
      <c r="M373" s="29"/>
      <c r="N373" s="29"/>
      <c r="O373" s="52"/>
      <c r="P373" s="52"/>
      <c r="Q373" s="52"/>
      <c r="R373" s="53"/>
      <c r="S373" s="52"/>
      <c r="T373" s="52"/>
      <c r="U373" s="29"/>
      <c r="V373" s="54"/>
      <c r="W373" s="54"/>
    </row>
    <row r="374" ht="15.75" customHeight="1">
      <c r="A374" s="29"/>
      <c r="B374" s="16"/>
      <c r="C374" s="29"/>
      <c r="D374" s="29"/>
      <c r="E374" s="29"/>
      <c r="F374" s="29"/>
      <c r="G374" s="29"/>
      <c r="H374" s="41"/>
      <c r="I374" s="41"/>
      <c r="J374" s="51"/>
      <c r="K374" s="29"/>
      <c r="L374" s="29"/>
      <c r="M374" s="29"/>
      <c r="N374" s="29"/>
      <c r="O374" s="52"/>
      <c r="P374" s="52"/>
      <c r="Q374" s="52"/>
      <c r="R374" s="53"/>
      <c r="S374" s="52"/>
      <c r="T374" s="52"/>
      <c r="U374" s="29"/>
      <c r="V374" s="54"/>
      <c r="W374" s="54"/>
    </row>
    <row r="375" ht="15.75" customHeight="1">
      <c r="A375" s="29"/>
      <c r="B375" s="16"/>
      <c r="C375" s="29"/>
      <c r="D375" s="29"/>
      <c r="E375" s="29"/>
      <c r="F375" s="29"/>
      <c r="G375" s="29"/>
      <c r="H375" s="41"/>
      <c r="I375" s="41"/>
      <c r="J375" s="51"/>
      <c r="K375" s="29"/>
      <c r="L375" s="29"/>
      <c r="M375" s="29"/>
      <c r="N375" s="29"/>
      <c r="O375" s="52"/>
      <c r="P375" s="52"/>
      <c r="Q375" s="52"/>
      <c r="R375" s="53"/>
      <c r="S375" s="52"/>
      <c r="T375" s="52"/>
      <c r="U375" s="29"/>
      <c r="V375" s="54"/>
      <c r="W375" s="54"/>
    </row>
    <row r="376" ht="15.75" customHeight="1">
      <c r="A376" s="29"/>
      <c r="B376" s="16"/>
      <c r="C376" s="29"/>
      <c r="D376" s="29"/>
      <c r="E376" s="29"/>
      <c r="F376" s="29"/>
      <c r="G376" s="29"/>
      <c r="H376" s="41"/>
      <c r="I376" s="41"/>
      <c r="J376" s="51"/>
      <c r="K376" s="29"/>
      <c r="L376" s="29"/>
      <c r="M376" s="29"/>
      <c r="N376" s="29"/>
      <c r="O376" s="52"/>
      <c r="P376" s="52"/>
      <c r="Q376" s="52"/>
      <c r="R376" s="53"/>
      <c r="S376" s="52"/>
      <c r="T376" s="52"/>
      <c r="U376" s="29"/>
      <c r="V376" s="54"/>
      <c r="W376" s="54"/>
    </row>
    <row r="377" ht="15.75" customHeight="1">
      <c r="A377" s="29"/>
      <c r="B377" s="16"/>
      <c r="C377" s="29"/>
      <c r="D377" s="29"/>
      <c r="E377" s="29"/>
      <c r="F377" s="29"/>
      <c r="G377" s="29"/>
      <c r="H377" s="41"/>
      <c r="I377" s="41"/>
      <c r="J377" s="51"/>
      <c r="K377" s="29"/>
      <c r="L377" s="29"/>
      <c r="M377" s="29"/>
      <c r="N377" s="29"/>
      <c r="O377" s="52"/>
      <c r="P377" s="52"/>
      <c r="Q377" s="52"/>
      <c r="R377" s="53"/>
      <c r="S377" s="52"/>
      <c r="T377" s="52"/>
      <c r="U377" s="29"/>
      <c r="V377" s="54"/>
      <c r="W377" s="54"/>
    </row>
    <row r="378" ht="15.75" customHeight="1">
      <c r="A378" s="29"/>
      <c r="B378" s="16"/>
      <c r="C378" s="29"/>
      <c r="D378" s="29"/>
      <c r="E378" s="29"/>
      <c r="F378" s="29"/>
      <c r="G378" s="29"/>
      <c r="H378" s="41"/>
      <c r="I378" s="41"/>
      <c r="J378" s="51"/>
      <c r="K378" s="29"/>
      <c r="L378" s="29"/>
      <c r="M378" s="29"/>
      <c r="N378" s="29"/>
      <c r="O378" s="52"/>
      <c r="P378" s="52"/>
      <c r="Q378" s="52"/>
      <c r="R378" s="53"/>
      <c r="S378" s="52"/>
      <c r="T378" s="52"/>
      <c r="U378" s="29"/>
      <c r="V378" s="54"/>
      <c r="W378" s="54"/>
    </row>
    <row r="379" ht="15.75" customHeight="1">
      <c r="A379" s="29"/>
      <c r="B379" s="16"/>
      <c r="C379" s="29"/>
      <c r="D379" s="29"/>
      <c r="E379" s="29"/>
      <c r="F379" s="29"/>
      <c r="G379" s="29"/>
      <c r="H379" s="41"/>
      <c r="I379" s="41"/>
      <c r="J379" s="51"/>
      <c r="K379" s="29"/>
      <c r="L379" s="29"/>
      <c r="M379" s="29"/>
      <c r="N379" s="29"/>
      <c r="O379" s="52"/>
      <c r="P379" s="52"/>
      <c r="Q379" s="52"/>
      <c r="R379" s="53"/>
      <c r="S379" s="52"/>
      <c r="T379" s="52"/>
      <c r="U379" s="29"/>
      <c r="V379" s="54"/>
      <c r="W379" s="54"/>
    </row>
    <row r="380" ht="15.75" customHeight="1">
      <c r="A380" s="29"/>
      <c r="B380" s="16"/>
      <c r="C380" s="29"/>
      <c r="D380" s="29"/>
      <c r="E380" s="29"/>
      <c r="F380" s="29"/>
      <c r="G380" s="29"/>
      <c r="H380" s="41"/>
      <c r="I380" s="41"/>
      <c r="J380" s="51"/>
      <c r="K380" s="29"/>
      <c r="L380" s="29"/>
      <c r="M380" s="29"/>
      <c r="N380" s="29"/>
      <c r="O380" s="52"/>
      <c r="P380" s="52"/>
      <c r="Q380" s="52"/>
      <c r="R380" s="53"/>
      <c r="S380" s="52"/>
      <c r="T380" s="52"/>
      <c r="U380" s="29"/>
      <c r="V380" s="54"/>
      <c r="W380" s="54"/>
    </row>
    <row r="381" ht="15.75" customHeight="1">
      <c r="A381" s="29"/>
      <c r="B381" s="16"/>
      <c r="C381" s="29"/>
      <c r="D381" s="29"/>
      <c r="E381" s="29"/>
      <c r="F381" s="29"/>
      <c r="G381" s="29"/>
      <c r="H381" s="41"/>
      <c r="I381" s="41"/>
      <c r="J381" s="51"/>
      <c r="K381" s="29"/>
      <c r="L381" s="29"/>
      <c r="M381" s="29"/>
      <c r="N381" s="29"/>
      <c r="O381" s="52"/>
      <c r="P381" s="52"/>
      <c r="Q381" s="52"/>
      <c r="R381" s="53"/>
      <c r="S381" s="52"/>
      <c r="T381" s="52"/>
      <c r="U381" s="29"/>
      <c r="V381" s="54"/>
      <c r="W381" s="54"/>
    </row>
    <row r="382" ht="15.75" customHeight="1">
      <c r="A382" s="29"/>
      <c r="B382" s="16"/>
      <c r="C382" s="29"/>
      <c r="D382" s="29"/>
      <c r="E382" s="29"/>
      <c r="F382" s="29"/>
      <c r="G382" s="29"/>
      <c r="H382" s="41"/>
      <c r="I382" s="41"/>
      <c r="J382" s="51"/>
      <c r="K382" s="29"/>
      <c r="L382" s="29"/>
      <c r="M382" s="29"/>
      <c r="N382" s="29"/>
      <c r="O382" s="52"/>
      <c r="P382" s="52"/>
      <c r="Q382" s="52"/>
      <c r="R382" s="53"/>
      <c r="S382" s="52"/>
      <c r="T382" s="52"/>
      <c r="U382" s="29"/>
      <c r="V382" s="54"/>
      <c r="W382" s="54"/>
    </row>
    <row r="383" ht="15.75" customHeight="1">
      <c r="A383" s="29"/>
      <c r="B383" s="16"/>
      <c r="C383" s="29"/>
      <c r="D383" s="29"/>
      <c r="E383" s="29"/>
      <c r="F383" s="29"/>
      <c r="G383" s="29"/>
      <c r="H383" s="41"/>
      <c r="I383" s="41"/>
      <c r="J383" s="51"/>
      <c r="K383" s="29"/>
      <c r="L383" s="29"/>
      <c r="M383" s="29"/>
      <c r="N383" s="29"/>
      <c r="O383" s="52"/>
      <c r="P383" s="52"/>
      <c r="Q383" s="52"/>
      <c r="R383" s="53"/>
      <c r="S383" s="52"/>
      <c r="T383" s="52"/>
      <c r="U383" s="29"/>
      <c r="V383" s="54"/>
      <c r="W383" s="54"/>
    </row>
    <row r="384" ht="15.75" customHeight="1">
      <c r="A384" s="29"/>
      <c r="B384" s="16"/>
      <c r="C384" s="29"/>
      <c r="D384" s="29"/>
      <c r="E384" s="29"/>
      <c r="F384" s="29"/>
      <c r="G384" s="29"/>
      <c r="H384" s="41"/>
      <c r="I384" s="41"/>
      <c r="J384" s="51"/>
      <c r="K384" s="29"/>
      <c r="L384" s="29"/>
      <c r="M384" s="29"/>
      <c r="N384" s="29"/>
      <c r="O384" s="52"/>
      <c r="P384" s="52"/>
      <c r="Q384" s="52"/>
      <c r="R384" s="53"/>
      <c r="S384" s="52"/>
      <c r="T384" s="52"/>
      <c r="U384" s="29"/>
      <c r="V384" s="54"/>
      <c r="W384" s="54"/>
    </row>
    <row r="385" ht="15.75" customHeight="1">
      <c r="A385" s="29"/>
      <c r="B385" s="16"/>
      <c r="C385" s="29"/>
      <c r="D385" s="29"/>
      <c r="E385" s="29"/>
      <c r="F385" s="29"/>
      <c r="G385" s="29"/>
      <c r="H385" s="41"/>
      <c r="I385" s="41"/>
      <c r="J385" s="51"/>
      <c r="K385" s="29"/>
      <c r="L385" s="29"/>
      <c r="M385" s="29"/>
      <c r="N385" s="29"/>
      <c r="O385" s="52"/>
      <c r="P385" s="52"/>
      <c r="Q385" s="52"/>
      <c r="R385" s="53"/>
      <c r="S385" s="52"/>
      <c r="T385" s="52"/>
      <c r="U385" s="29"/>
      <c r="V385" s="54"/>
      <c r="W385" s="54"/>
    </row>
    <row r="386" ht="15.75" customHeight="1">
      <c r="A386" s="29"/>
      <c r="B386" s="16"/>
      <c r="C386" s="29"/>
      <c r="D386" s="29"/>
      <c r="E386" s="29"/>
      <c r="F386" s="29"/>
      <c r="G386" s="29"/>
      <c r="H386" s="41"/>
      <c r="I386" s="41"/>
      <c r="J386" s="51"/>
      <c r="K386" s="29"/>
      <c r="L386" s="29"/>
      <c r="M386" s="29"/>
      <c r="N386" s="29"/>
      <c r="O386" s="52"/>
      <c r="P386" s="52"/>
      <c r="Q386" s="52"/>
      <c r="R386" s="53"/>
      <c r="S386" s="52"/>
      <c r="T386" s="52"/>
      <c r="U386" s="29"/>
      <c r="V386" s="54"/>
      <c r="W386" s="54"/>
    </row>
    <row r="387" ht="15.75" customHeight="1">
      <c r="A387" s="29"/>
      <c r="B387" s="16"/>
      <c r="C387" s="29"/>
      <c r="D387" s="29"/>
      <c r="E387" s="29"/>
      <c r="F387" s="29"/>
      <c r="G387" s="29"/>
      <c r="H387" s="41"/>
      <c r="I387" s="41"/>
      <c r="J387" s="51"/>
      <c r="K387" s="29"/>
      <c r="L387" s="29"/>
      <c r="M387" s="29"/>
      <c r="N387" s="29"/>
      <c r="O387" s="52"/>
      <c r="P387" s="52"/>
      <c r="Q387" s="52"/>
      <c r="R387" s="53"/>
      <c r="S387" s="52"/>
      <c r="T387" s="52"/>
      <c r="U387" s="29"/>
      <c r="V387" s="54"/>
      <c r="W387" s="54"/>
    </row>
    <row r="388" ht="15.75" customHeight="1">
      <c r="A388" s="29"/>
      <c r="B388" s="16"/>
      <c r="C388" s="29"/>
      <c r="D388" s="29"/>
      <c r="E388" s="29"/>
      <c r="F388" s="29"/>
      <c r="G388" s="29"/>
      <c r="H388" s="41"/>
      <c r="I388" s="41"/>
      <c r="J388" s="51"/>
      <c r="K388" s="29"/>
      <c r="L388" s="29"/>
      <c r="M388" s="29"/>
      <c r="N388" s="29"/>
      <c r="O388" s="52"/>
      <c r="P388" s="52"/>
      <c r="Q388" s="52"/>
      <c r="R388" s="53"/>
      <c r="S388" s="52"/>
      <c r="T388" s="52"/>
      <c r="U388" s="29"/>
      <c r="V388" s="54"/>
      <c r="W388" s="54"/>
    </row>
    <row r="389" ht="15.75" customHeight="1">
      <c r="A389" s="29"/>
      <c r="B389" s="16"/>
      <c r="C389" s="29"/>
      <c r="D389" s="29"/>
      <c r="E389" s="29"/>
      <c r="F389" s="29"/>
      <c r="G389" s="29"/>
      <c r="H389" s="41"/>
      <c r="I389" s="41"/>
      <c r="J389" s="51"/>
      <c r="K389" s="29"/>
      <c r="L389" s="29"/>
      <c r="M389" s="29"/>
      <c r="N389" s="29"/>
      <c r="O389" s="52"/>
      <c r="P389" s="52"/>
      <c r="Q389" s="52"/>
      <c r="R389" s="53"/>
      <c r="S389" s="52"/>
      <c r="T389" s="52"/>
      <c r="U389" s="29"/>
      <c r="V389" s="54"/>
      <c r="W389" s="54"/>
    </row>
    <row r="390" ht="15.75" customHeight="1">
      <c r="A390" s="29"/>
      <c r="B390" s="16"/>
      <c r="C390" s="29"/>
      <c r="D390" s="29"/>
      <c r="E390" s="29"/>
      <c r="F390" s="29"/>
      <c r="G390" s="29"/>
      <c r="H390" s="41"/>
      <c r="I390" s="41"/>
      <c r="J390" s="51"/>
      <c r="K390" s="29"/>
      <c r="L390" s="29"/>
      <c r="M390" s="29"/>
      <c r="N390" s="29"/>
      <c r="O390" s="52"/>
      <c r="P390" s="52"/>
      <c r="Q390" s="52"/>
      <c r="R390" s="53"/>
      <c r="S390" s="52"/>
      <c r="T390" s="52"/>
      <c r="U390" s="29"/>
      <c r="V390" s="54"/>
      <c r="W390" s="54"/>
    </row>
    <row r="391" ht="15.75" customHeight="1">
      <c r="A391" s="29"/>
      <c r="B391" s="16"/>
      <c r="C391" s="29"/>
      <c r="D391" s="29"/>
      <c r="E391" s="29"/>
      <c r="F391" s="29"/>
      <c r="G391" s="29"/>
      <c r="H391" s="41"/>
      <c r="I391" s="41"/>
      <c r="J391" s="51"/>
      <c r="K391" s="29"/>
      <c r="L391" s="29"/>
      <c r="M391" s="29"/>
      <c r="N391" s="29"/>
      <c r="O391" s="52"/>
      <c r="P391" s="52"/>
      <c r="Q391" s="52"/>
      <c r="R391" s="53"/>
      <c r="S391" s="52"/>
      <c r="T391" s="52"/>
      <c r="U391" s="29"/>
      <c r="V391" s="54"/>
      <c r="W391" s="54"/>
    </row>
    <row r="392" ht="15.75" customHeight="1">
      <c r="A392" s="29"/>
      <c r="B392" s="16"/>
      <c r="C392" s="29"/>
      <c r="D392" s="29"/>
      <c r="E392" s="29"/>
      <c r="F392" s="29"/>
      <c r="G392" s="29"/>
      <c r="H392" s="41"/>
      <c r="I392" s="41"/>
      <c r="J392" s="51"/>
      <c r="K392" s="29"/>
      <c r="L392" s="29"/>
      <c r="M392" s="29"/>
      <c r="N392" s="29"/>
      <c r="O392" s="52"/>
      <c r="P392" s="52"/>
      <c r="Q392" s="52"/>
      <c r="R392" s="53"/>
      <c r="S392" s="52"/>
      <c r="T392" s="52"/>
      <c r="U392" s="29"/>
      <c r="V392" s="54"/>
      <c r="W392" s="54"/>
    </row>
    <row r="393" ht="15.75" customHeight="1">
      <c r="A393" s="29"/>
      <c r="B393" s="16"/>
      <c r="C393" s="29"/>
      <c r="D393" s="29"/>
      <c r="E393" s="29"/>
      <c r="F393" s="29"/>
      <c r="G393" s="29"/>
      <c r="H393" s="41"/>
      <c r="I393" s="41"/>
      <c r="J393" s="51"/>
      <c r="K393" s="29"/>
      <c r="L393" s="29"/>
      <c r="M393" s="29"/>
      <c r="N393" s="29"/>
      <c r="O393" s="52"/>
      <c r="P393" s="52"/>
      <c r="Q393" s="52"/>
      <c r="R393" s="53"/>
      <c r="S393" s="52"/>
      <c r="T393" s="52"/>
      <c r="U393" s="29"/>
      <c r="V393" s="54"/>
      <c r="W393" s="54"/>
    </row>
    <row r="394" ht="15.75" customHeight="1">
      <c r="A394" s="29"/>
      <c r="B394" s="16"/>
      <c r="C394" s="29"/>
      <c r="D394" s="29"/>
      <c r="E394" s="29"/>
      <c r="F394" s="29"/>
      <c r="G394" s="29"/>
      <c r="H394" s="41"/>
      <c r="I394" s="41"/>
      <c r="J394" s="51"/>
      <c r="K394" s="29"/>
      <c r="L394" s="29"/>
      <c r="M394" s="29"/>
      <c r="N394" s="29"/>
      <c r="O394" s="52"/>
      <c r="P394" s="52"/>
      <c r="Q394" s="52"/>
      <c r="R394" s="53"/>
      <c r="S394" s="52"/>
      <c r="T394" s="52"/>
      <c r="U394" s="29"/>
      <c r="V394" s="54"/>
      <c r="W394" s="54"/>
    </row>
    <row r="395" ht="15.75" customHeight="1">
      <c r="A395" s="29"/>
      <c r="B395" s="16"/>
      <c r="C395" s="29"/>
      <c r="D395" s="29"/>
      <c r="E395" s="29"/>
      <c r="F395" s="29"/>
      <c r="G395" s="29"/>
      <c r="H395" s="41"/>
      <c r="I395" s="41"/>
      <c r="J395" s="51"/>
      <c r="K395" s="29"/>
      <c r="L395" s="29"/>
      <c r="M395" s="29"/>
      <c r="N395" s="29"/>
      <c r="O395" s="52"/>
      <c r="P395" s="52"/>
      <c r="Q395" s="52"/>
      <c r="R395" s="53"/>
      <c r="S395" s="52"/>
      <c r="T395" s="52"/>
      <c r="U395" s="29"/>
      <c r="V395" s="54"/>
      <c r="W395" s="54"/>
    </row>
    <row r="396" ht="15.75" customHeight="1">
      <c r="A396" s="29"/>
      <c r="B396" s="16"/>
      <c r="C396" s="29"/>
      <c r="D396" s="29"/>
      <c r="E396" s="29"/>
      <c r="F396" s="29"/>
      <c r="G396" s="29"/>
      <c r="H396" s="41"/>
      <c r="I396" s="41"/>
      <c r="J396" s="51"/>
      <c r="K396" s="29"/>
      <c r="L396" s="29"/>
      <c r="M396" s="29"/>
      <c r="N396" s="29"/>
      <c r="O396" s="52"/>
      <c r="P396" s="52"/>
      <c r="Q396" s="52"/>
      <c r="R396" s="53"/>
      <c r="S396" s="52"/>
      <c r="T396" s="52"/>
      <c r="U396" s="29"/>
      <c r="V396" s="54"/>
      <c r="W396" s="54"/>
    </row>
    <row r="397" ht="15.75" customHeight="1">
      <c r="A397" s="29"/>
      <c r="B397" s="16"/>
      <c r="C397" s="29"/>
      <c r="D397" s="29"/>
      <c r="E397" s="29"/>
      <c r="F397" s="29"/>
      <c r="G397" s="29"/>
      <c r="H397" s="41"/>
      <c r="I397" s="41"/>
      <c r="J397" s="51"/>
      <c r="K397" s="29"/>
      <c r="L397" s="29"/>
      <c r="M397" s="29"/>
      <c r="N397" s="29"/>
      <c r="O397" s="52"/>
      <c r="P397" s="52"/>
      <c r="Q397" s="52"/>
      <c r="R397" s="53"/>
      <c r="S397" s="52"/>
      <c r="T397" s="52"/>
      <c r="U397" s="29"/>
      <c r="V397" s="54"/>
      <c r="W397" s="54"/>
    </row>
    <row r="398" ht="15.75" customHeight="1">
      <c r="A398" s="29"/>
      <c r="B398" s="16"/>
      <c r="C398" s="29"/>
      <c r="D398" s="29"/>
      <c r="E398" s="29"/>
      <c r="F398" s="29"/>
      <c r="G398" s="29"/>
      <c r="H398" s="41"/>
      <c r="I398" s="41"/>
      <c r="J398" s="51"/>
      <c r="K398" s="29"/>
      <c r="L398" s="29"/>
      <c r="M398" s="29"/>
      <c r="N398" s="29"/>
      <c r="O398" s="52"/>
      <c r="P398" s="52"/>
      <c r="Q398" s="52"/>
      <c r="R398" s="53"/>
      <c r="S398" s="52"/>
      <c r="T398" s="52"/>
      <c r="U398" s="29"/>
      <c r="V398" s="54"/>
      <c r="W398" s="54"/>
    </row>
    <row r="399" ht="15.75" customHeight="1">
      <c r="A399" s="29"/>
      <c r="B399" s="16"/>
      <c r="C399" s="29"/>
      <c r="D399" s="29"/>
      <c r="E399" s="29"/>
      <c r="F399" s="29"/>
      <c r="G399" s="29"/>
      <c r="H399" s="41"/>
      <c r="I399" s="41"/>
      <c r="J399" s="51"/>
      <c r="K399" s="29"/>
      <c r="L399" s="29"/>
      <c r="M399" s="29"/>
      <c r="N399" s="29"/>
      <c r="O399" s="52"/>
      <c r="P399" s="52"/>
      <c r="Q399" s="52"/>
      <c r="R399" s="53"/>
      <c r="S399" s="52"/>
      <c r="T399" s="52"/>
      <c r="U399" s="29"/>
      <c r="V399" s="54"/>
      <c r="W399" s="54"/>
    </row>
    <row r="400" ht="15.75" customHeight="1">
      <c r="A400" s="29"/>
      <c r="B400" s="16"/>
      <c r="C400" s="29"/>
      <c r="D400" s="29"/>
      <c r="E400" s="29"/>
      <c r="F400" s="29"/>
      <c r="G400" s="29"/>
      <c r="H400" s="41"/>
      <c r="I400" s="41"/>
      <c r="J400" s="51"/>
      <c r="K400" s="29"/>
      <c r="L400" s="29"/>
      <c r="M400" s="29"/>
      <c r="N400" s="29"/>
      <c r="O400" s="52"/>
      <c r="P400" s="52"/>
      <c r="Q400" s="52"/>
      <c r="R400" s="53"/>
      <c r="S400" s="52"/>
      <c r="T400" s="52"/>
      <c r="U400" s="29"/>
      <c r="V400" s="54"/>
      <c r="W400" s="54"/>
    </row>
    <row r="401" ht="15.75" customHeight="1">
      <c r="A401" s="29"/>
      <c r="B401" s="16"/>
      <c r="C401" s="29"/>
      <c r="D401" s="29"/>
      <c r="E401" s="29"/>
      <c r="F401" s="29"/>
      <c r="G401" s="29"/>
      <c r="H401" s="41"/>
      <c r="I401" s="41"/>
      <c r="J401" s="51"/>
      <c r="K401" s="29"/>
      <c r="L401" s="29"/>
      <c r="M401" s="29"/>
      <c r="N401" s="29"/>
      <c r="O401" s="52"/>
      <c r="P401" s="52"/>
      <c r="Q401" s="52"/>
      <c r="R401" s="53"/>
      <c r="S401" s="52"/>
      <c r="T401" s="52"/>
      <c r="U401" s="29"/>
      <c r="V401" s="54"/>
      <c r="W401" s="54"/>
    </row>
    <row r="402" ht="15.75" customHeight="1">
      <c r="A402" s="29"/>
      <c r="B402" s="16"/>
      <c r="C402" s="29"/>
      <c r="D402" s="29"/>
      <c r="E402" s="29"/>
      <c r="F402" s="29"/>
      <c r="G402" s="29"/>
      <c r="H402" s="41"/>
      <c r="I402" s="41"/>
      <c r="J402" s="51"/>
      <c r="K402" s="29"/>
      <c r="L402" s="29"/>
      <c r="M402" s="29"/>
      <c r="N402" s="29"/>
      <c r="O402" s="52"/>
      <c r="P402" s="52"/>
      <c r="Q402" s="52"/>
      <c r="R402" s="53"/>
      <c r="S402" s="52"/>
      <c r="T402" s="52"/>
      <c r="U402" s="29"/>
      <c r="V402" s="54"/>
      <c r="W402" s="54"/>
    </row>
    <row r="403" ht="15.75" customHeight="1">
      <c r="A403" s="29"/>
      <c r="B403" s="16"/>
      <c r="C403" s="29"/>
      <c r="D403" s="29"/>
      <c r="E403" s="29"/>
      <c r="F403" s="29"/>
      <c r="G403" s="29"/>
      <c r="H403" s="41"/>
      <c r="I403" s="41"/>
      <c r="J403" s="51"/>
      <c r="K403" s="29"/>
      <c r="L403" s="29"/>
      <c r="M403" s="29"/>
      <c r="N403" s="29"/>
      <c r="O403" s="52"/>
      <c r="P403" s="52"/>
      <c r="Q403" s="52"/>
      <c r="R403" s="53"/>
      <c r="S403" s="52"/>
      <c r="T403" s="52"/>
      <c r="U403" s="29"/>
      <c r="V403" s="54"/>
      <c r="W403" s="54"/>
    </row>
    <row r="404" ht="15.75" customHeight="1">
      <c r="A404" s="29"/>
      <c r="B404" s="16"/>
      <c r="C404" s="29"/>
      <c r="D404" s="29"/>
      <c r="E404" s="29"/>
      <c r="F404" s="29"/>
      <c r="G404" s="29"/>
      <c r="H404" s="41"/>
      <c r="I404" s="41"/>
      <c r="J404" s="51"/>
      <c r="K404" s="29"/>
      <c r="L404" s="29"/>
      <c r="M404" s="29"/>
      <c r="N404" s="29"/>
      <c r="O404" s="52"/>
      <c r="P404" s="52"/>
      <c r="Q404" s="52"/>
      <c r="R404" s="53"/>
      <c r="S404" s="52"/>
      <c r="T404" s="52"/>
      <c r="U404" s="29"/>
      <c r="V404" s="54"/>
      <c r="W404" s="54"/>
    </row>
    <row r="405" ht="15.75" customHeight="1">
      <c r="A405" s="29"/>
      <c r="B405" s="16"/>
      <c r="C405" s="29"/>
      <c r="D405" s="29"/>
      <c r="E405" s="29"/>
      <c r="F405" s="29"/>
      <c r="G405" s="29"/>
      <c r="H405" s="41"/>
      <c r="I405" s="41"/>
      <c r="J405" s="51"/>
      <c r="K405" s="29"/>
      <c r="L405" s="29"/>
      <c r="M405" s="29"/>
      <c r="N405" s="29"/>
      <c r="O405" s="52"/>
      <c r="P405" s="52"/>
      <c r="Q405" s="52"/>
      <c r="R405" s="53"/>
      <c r="S405" s="52"/>
      <c r="T405" s="52"/>
      <c r="U405" s="29"/>
      <c r="V405" s="54"/>
      <c r="W405" s="54"/>
    </row>
    <row r="406" ht="15.75" customHeight="1">
      <c r="A406" s="29"/>
      <c r="B406" s="16"/>
      <c r="C406" s="29"/>
      <c r="D406" s="29"/>
      <c r="E406" s="29"/>
      <c r="F406" s="29"/>
      <c r="G406" s="29"/>
      <c r="H406" s="41"/>
      <c r="I406" s="41"/>
      <c r="J406" s="51"/>
      <c r="K406" s="29"/>
      <c r="L406" s="29"/>
      <c r="M406" s="29"/>
      <c r="N406" s="29"/>
      <c r="O406" s="52"/>
      <c r="P406" s="52"/>
      <c r="Q406" s="52"/>
      <c r="R406" s="53"/>
      <c r="S406" s="52"/>
      <c r="T406" s="52"/>
      <c r="U406" s="29"/>
      <c r="V406" s="54"/>
      <c r="W406" s="54"/>
    </row>
    <row r="407" ht="15.75" customHeight="1">
      <c r="A407" s="29"/>
      <c r="B407" s="16"/>
      <c r="C407" s="29"/>
      <c r="D407" s="29"/>
      <c r="E407" s="29"/>
      <c r="F407" s="29"/>
      <c r="G407" s="29"/>
      <c r="H407" s="41"/>
      <c r="I407" s="41"/>
      <c r="J407" s="51"/>
      <c r="K407" s="29"/>
      <c r="L407" s="29"/>
      <c r="M407" s="29"/>
      <c r="N407" s="29"/>
      <c r="O407" s="52"/>
      <c r="P407" s="52"/>
      <c r="Q407" s="52"/>
      <c r="R407" s="53"/>
      <c r="S407" s="52"/>
      <c r="T407" s="52"/>
      <c r="U407" s="29"/>
      <c r="V407" s="54"/>
      <c r="W407" s="54"/>
    </row>
    <row r="408" ht="15.75" customHeight="1">
      <c r="A408" s="29"/>
      <c r="B408" s="16"/>
      <c r="C408" s="29"/>
      <c r="D408" s="29"/>
      <c r="E408" s="29"/>
      <c r="F408" s="29"/>
      <c r="G408" s="29"/>
      <c r="H408" s="41"/>
      <c r="I408" s="41"/>
      <c r="J408" s="51"/>
      <c r="K408" s="29"/>
      <c r="L408" s="29"/>
      <c r="M408" s="29"/>
      <c r="N408" s="29"/>
      <c r="O408" s="52"/>
      <c r="P408" s="52"/>
      <c r="Q408" s="52"/>
      <c r="R408" s="53"/>
      <c r="S408" s="52"/>
      <c r="T408" s="52"/>
      <c r="U408" s="29"/>
      <c r="V408" s="54"/>
      <c r="W408" s="54"/>
    </row>
    <row r="409" ht="15.75" customHeight="1">
      <c r="A409" s="29"/>
      <c r="B409" s="16"/>
      <c r="C409" s="29"/>
      <c r="D409" s="29"/>
      <c r="E409" s="29"/>
      <c r="F409" s="29"/>
      <c r="G409" s="29"/>
      <c r="H409" s="41"/>
      <c r="I409" s="41"/>
      <c r="J409" s="51"/>
      <c r="K409" s="29"/>
      <c r="L409" s="29"/>
      <c r="M409" s="29"/>
      <c r="N409" s="29"/>
      <c r="O409" s="52"/>
      <c r="P409" s="52"/>
      <c r="Q409" s="52"/>
      <c r="R409" s="53"/>
      <c r="S409" s="52"/>
      <c r="T409" s="52"/>
      <c r="U409" s="29"/>
      <c r="V409" s="54"/>
      <c r="W409" s="54"/>
    </row>
    <row r="410" ht="15.75" customHeight="1">
      <c r="A410" s="29"/>
      <c r="B410" s="16"/>
      <c r="C410" s="29"/>
      <c r="D410" s="29"/>
      <c r="E410" s="29"/>
      <c r="F410" s="29"/>
      <c r="G410" s="29"/>
      <c r="H410" s="41"/>
      <c r="I410" s="41"/>
      <c r="J410" s="51"/>
      <c r="K410" s="29"/>
      <c r="L410" s="29"/>
      <c r="M410" s="29"/>
      <c r="N410" s="29"/>
      <c r="O410" s="52"/>
      <c r="P410" s="52"/>
      <c r="Q410" s="52"/>
      <c r="R410" s="53"/>
      <c r="S410" s="52"/>
      <c r="T410" s="52"/>
      <c r="U410" s="29"/>
      <c r="V410" s="54"/>
      <c r="W410" s="54"/>
    </row>
    <row r="411" ht="15.75" customHeight="1">
      <c r="A411" s="29"/>
      <c r="B411" s="16"/>
      <c r="C411" s="29"/>
      <c r="D411" s="29"/>
      <c r="E411" s="29"/>
      <c r="F411" s="29"/>
      <c r="G411" s="29"/>
      <c r="H411" s="41"/>
      <c r="I411" s="41"/>
      <c r="J411" s="51"/>
      <c r="K411" s="29"/>
      <c r="L411" s="29"/>
      <c r="M411" s="29"/>
      <c r="N411" s="29"/>
      <c r="O411" s="52"/>
      <c r="P411" s="52"/>
      <c r="Q411" s="52"/>
      <c r="R411" s="53"/>
      <c r="S411" s="52"/>
      <c r="T411" s="52"/>
      <c r="U411" s="29"/>
      <c r="V411" s="54"/>
      <c r="W411" s="54"/>
    </row>
    <row r="412" ht="15.75" customHeight="1">
      <c r="A412" s="29"/>
      <c r="B412" s="16"/>
      <c r="C412" s="29"/>
      <c r="D412" s="29"/>
      <c r="E412" s="29"/>
      <c r="F412" s="29"/>
      <c r="G412" s="29"/>
      <c r="H412" s="41"/>
      <c r="I412" s="41"/>
      <c r="J412" s="51"/>
      <c r="K412" s="29"/>
      <c r="L412" s="29"/>
      <c r="M412" s="29"/>
      <c r="N412" s="29"/>
      <c r="O412" s="52"/>
      <c r="P412" s="52"/>
      <c r="Q412" s="52"/>
      <c r="R412" s="53"/>
      <c r="S412" s="52"/>
      <c r="T412" s="52"/>
      <c r="U412" s="29"/>
      <c r="V412" s="54"/>
      <c r="W412" s="54"/>
    </row>
    <row r="413" ht="15.75" customHeight="1">
      <c r="A413" s="29"/>
      <c r="B413" s="16"/>
      <c r="C413" s="29"/>
      <c r="D413" s="29"/>
      <c r="E413" s="29"/>
      <c r="F413" s="29"/>
      <c r="G413" s="29"/>
      <c r="H413" s="41"/>
      <c r="I413" s="41"/>
      <c r="J413" s="51"/>
      <c r="K413" s="29"/>
      <c r="L413" s="29"/>
      <c r="M413" s="29"/>
      <c r="N413" s="29"/>
      <c r="O413" s="52"/>
      <c r="P413" s="52"/>
      <c r="Q413" s="52"/>
      <c r="R413" s="53"/>
      <c r="S413" s="52"/>
      <c r="T413" s="52"/>
      <c r="U413" s="29"/>
      <c r="V413" s="54"/>
      <c r="W413" s="54"/>
    </row>
    <row r="414" ht="15.75" customHeight="1">
      <c r="A414" s="29"/>
      <c r="B414" s="16"/>
      <c r="C414" s="29"/>
      <c r="D414" s="29"/>
      <c r="E414" s="29"/>
      <c r="F414" s="29"/>
      <c r="G414" s="29"/>
      <c r="H414" s="41"/>
      <c r="I414" s="41"/>
      <c r="J414" s="51"/>
      <c r="K414" s="29"/>
      <c r="L414" s="29"/>
      <c r="M414" s="29"/>
      <c r="N414" s="29"/>
      <c r="O414" s="52"/>
      <c r="P414" s="52"/>
      <c r="Q414" s="52"/>
      <c r="R414" s="53"/>
      <c r="S414" s="52"/>
      <c r="T414" s="52"/>
      <c r="U414" s="29"/>
      <c r="V414" s="54"/>
      <c r="W414" s="54"/>
    </row>
    <row r="415" ht="15.75" customHeight="1">
      <c r="A415" s="29"/>
      <c r="B415" s="16"/>
      <c r="C415" s="29"/>
      <c r="D415" s="29"/>
      <c r="E415" s="29"/>
      <c r="F415" s="29"/>
      <c r="G415" s="29"/>
      <c r="H415" s="41"/>
      <c r="I415" s="41"/>
      <c r="J415" s="51"/>
      <c r="K415" s="29"/>
      <c r="L415" s="29"/>
      <c r="M415" s="29"/>
      <c r="N415" s="29"/>
      <c r="O415" s="52"/>
      <c r="P415" s="52"/>
      <c r="Q415" s="52"/>
      <c r="R415" s="53"/>
      <c r="S415" s="52"/>
      <c r="T415" s="52"/>
      <c r="U415" s="29"/>
      <c r="V415" s="54"/>
      <c r="W415" s="54"/>
    </row>
    <row r="416" ht="15.75" customHeight="1">
      <c r="A416" s="29"/>
      <c r="B416" s="16"/>
      <c r="C416" s="29"/>
      <c r="D416" s="29"/>
      <c r="E416" s="29"/>
      <c r="F416" s="29"/>
      <c r="G416" s="29"/>
      <c r="H416" s="41"/>
      <c r="I416" s="41"/>
      <c r="J416" s="51"/>
      <c r="K416" s="29"/>
      <c r="L416" s="29"/>
      <c r="M416" s="29"/>
      <c r="N416" s="29"/>
      <c r="O416" s="52"/>
      <c r="P416" s="52"/>
      <c r="Q416" s="52"/>
      <c r="R416" s="53"/>
      <c r="S416" s="52"/>
      <c r="T416" s="52"/>
      <c r="U416" s="29"/>
      <c r="V416" s="54"/>
      <c r="W416" s="54"/>
    </row>
    <row r="417" ht="15.75" customHeight="1">
      <c r="A417" s="29"/>
      <c r="B417" s="16"/>
      <c r="C417" s="29"/>
      <c r="D417" s="29"/>
      <c r="E417" s="29"/>
      <c r="F417" s="29"/>
      <c r="G417" s="29"/>
      <c r="H417" s="41"/>
      <c r="I417" s="41"/>
      <c r="J417" s="51"/>
      <c r="K417" s="29"/>
      <c r="L417" s="29"/>
      <c r="M417" s="29"/>
      <c r="N417" s="29"/>
      <c r="O417" s="52"/>
      <c r="P417" s="52"/>
      <c r="Q417" s="52"/>
      <c r="R417" s="53"/>
      <c r="S417" s="52"/>
      <c r="T417" s="52"/>
      <c r="U417" s="29"/>
      <c r="V417" s="54"/>
      <c r="W417" s="54"/>
    </row>
    <row r="418" ht="15.75" customHeight="1">
      <c r="A418" s="29"/>
      <c r="B418" s="16"/>
      <c r="C418" s="29"/>
      <c r="D418" s="29"/>
      <c r="E418" s="29"/>
      <c r="F418" s="29"/>
      <c r="G418" s="29"/>
      <c r="H418" s="41"/>
      <c r="I418" s="41"/>
      <c r="J418" s="51"/>
      <c r="K418" s="29"/>
      <c r="L418" s="29"/>
      <c r="M418" s="29"/>
      <c r="N418" s="29"/>
      <c r="O418" s="52"/>
      <c r="P418" s="52"/>
      <c r="Q418" s="52"/>
      <c r="R418" s="53"/>
      <c r="S418" s="52"/>
      <c r="T418" s="52"/>
      <c r="U418" s="29"/>
      <c r="V418" s="54"/>
      <c r="W418" s="54"/>
    </row>
    <row r="419" ht="15.75" customHeight="1">
      <c r="A419" s="29"/>
      <c r="B419" s="16"/>
      <c r="C419" s="29"/>
      <c r="D419" s="29"/>
      <c r="E419" s="29"/>
      <c r="F419" s="29"/>
      <c r="G419" s="29"/>
      <c r="H419" s="41"/>
      <c r="I419" s="41"/>
      <c r="J419" s="51"/>
      <c r="K419" s="29"/>
      <c r="L419" s="29"/>
      <c r="M419" s="29"/>
      <c r="N419" s="29"/>
      <c r="O419" s="52"/>
      <c r="P419" s="52"/>
      <c r="Q419" s="52"/>
      <c r="R419" s="53"/>
      <c r="S419" s="52"/>
      <c r="T419" s="52"/>
      <c r="U419" s="29"/>
      <c r="V419" s="54"/>
      <c r="W419" s="54"/>
    </row>
    <row r="420" ht="15.75" customHeight="1">
      <c r="A420" s="29"/>
      <c r="B420" s="16"/>
      <c r="C420" s="29"/>
      <c r="D420" s="29"/>
      <c r="E420" s="29"/>
      <c r="F420" s="29"/>
      <c r="G420" s="29"/>
      <c r="H420" s="41"/>
      <c r="I420" s="41"/>
      <c r="J420" s="51"/>
      <c r="K420" s="29"/>
      <c r="L420" s="29"/>
      <c r="M420" s="29"/>
      <c r="N420" s="29"/>
      <c r="O420" s="52"/>
      <c r="P420" s="52"/>
      <c r="Q420" s="52"/>
      <c r="R420" s="53"/>
      <c r="S420" s="52"/>
      <c r="T420" s="52"/>
      <c r="U420" s="29"/>
      <c r="V420" s="54"/>
      <c r="W420" s="54"/>
    </row>
    <row r="421" ht="15.75" customHeight="1">
      <c r="A421" s="29"/>
      <c r="B421" s="16"/>
      <c r="C421" s="29"/>
      <c r="D421" s="29"/>
      <c r="E421" s="29"/>
      <c r="F421" s="29"/>
      <c r="G421" s="29"/>
      <c r="H421" s="41"/>
      <c r="I421" s="41"/>
      <c r="J421" s="51"/>
      <c r="K421" s="29"/>
      <c r="L421" s="29"/>
      <c r="M421" s="29"/>
      <c r="N421" s="29"/>
      <c r="O421" s="52"/>
      <c r="P421" s="52"/>
      <c r="Q421" s="52"/>
      <c r="R421" s="53"/>
      <c r="S421" s="52"/>
      <c r="T421" s="52"/>
      <c r="U421" s="29"/>
      <c r="V421" s="54"/>
      <c r="W421" s="54"/>
    </row>
    <row r="422" ht="15.75" customHeight="1">
      <c r="A422" s="29"/>
      <c r="B422" s="16"/>
      <c r="C422" s="29"/>
      <c r="D422" s="29"/>
      <c r="E422" s="29"/>
      <c r="F422" s="29"/>
      <c r="G422" s="29"/>
      <c r="H422" s="41"/>
      <c r="I422" s="41"/>
      <c r="J422" s="51"/>
      <c r="K422" s="29"/>
      <c r="L422" s="29"/>
      <c r="M422" s="29"/>
      <c r="N422" s="29"/>
      <c r="O422" s="52"/>
      <c r="P422" s="52"/>
      <c r="Q422" s="52"/>
      <c r="R422" s="53"/>
      <c r="S422" s="52"/>
      <c r="T422" s="52"/>
      <c r="U422" s="29"/>
      <c r="V422" s="54"/>
      <c r="W422" s="54"/>
    </row>
    <row r="423" ht="15.75" customHeight="1">
      <c r="A423" s="29"/>
      <c r="B423" s="16"/>
      <c r="C423" s="29"/>
      <c r="D423" s="29"/>
      <c r="E423" s="29"/>
      <c r="F423" s="29"/>
      <c r="G423" s="29"/>
      <c r="H423" s="41"/>
      <c r="I423" s="41"/>
      <c r="J423" s="51"/>
      <c r="K423" s="29"/>
      <c r="L423" s="29"/>
      <c r="M423" s="29"/>
      <c r="N423" s="29"/>
      <c r="O423" s="52"/>
      <c r="P423" s="52"/>
      <c r="Q423" s="52"/>
      <c r="R423" s="53"/>
      <c r="S423" s="52"/>
      <c r="T423" s="52"/>
      <c r="U423" s="29"/>
      <c r="V423" s="54"/>
      <c r="W423" s="54"/>
    </row>
    <row r="424" ht="15.75" customHeight="1">
      <c r="A424" s="29"/>
      <c r="B424" s="16"/>
      <c r="C424" s="29"/>
      <c r="D424" s="29"/>
      <c r="E424" s="29"/>
      <c r="F424" s="29"/>
      <c r="G424" s="29"/>
      <c r="H424" s="41"/>
      <c r="I424" s="41"/>
      <c r="J424" s="51"/>
      <c r="K424" s="29"/>
      <c r="L424" s="29"/>
      <c r="M424" s="29"/>
      <c r="N424" s="29"/>
      <c r="O424" s="52"/>
      <c r="P424" s="52"/>
      <c r="Q424" s="52"/>
      <c r="R424" s="53"/>
      <c r="S424" s="52"/>
      <c r="T424" s="52"/>
      <c r="U424" s="29"/>
      <c r="V424" s="54"/>
      <c r="W424" s="54"/>
    </row>
    <row r="425" ht="15.75" customHeight="1">
      <c r="A425" s="29"/>
      <c r="B425" s="16"/>
      <c r="C425" s="29"/>
      <c r="D425" s="29"/>
      <c r="E425" s="29"/>
      <c r="F425" s="29"/>
      <c r="G425" s="29"/>
      <c r="H425" s="41"/>
      <c r="I425" s="41"/>
      <c r="J425" s="51"/>
      <c r="K425" s="29"/>
      <c r="L425" s="29"/>
      <c r="M425" s="29"/>
      <c r="N425" s="29"/>
      <c r="O425" s="52"/>
      <c r="P425" s="52"/>
      <c r="Q425" s="52"/>
      <c r="R425" s="53"/>
      <c r="S425" s="52"/>
      <c r="T425" s="52"/>
      <c r="U425" s="29"/>
      <c r="V425" s="54"/>
      <c r="W425" s="54"/>
    </row>
    <row r="426" ht="15.75" customHeight="1">
      <c r="A426" s="29"/>
      <c r="B426" s="16"/>
      <c r="C426" s="29"/>
      <c r="D426" s="29"/>
      <c r="E426" s="29"/>
      <c r="F426" s="29"/>
      <c r="G426" s="29"/>
      <c r="H426" s="41"/>
      <c r="I426" s="41"/>
      <c r="J426" s="51"/>
      <c r="K426" s="29"/>
      <c r="L426" s="29"/>
      <c r="M426" s="29"/>
      <c r="N426" s="29"/>
      <c r="O426" s="52"/>
      <c r="P426" s="52"/>
      <c r="Q426" s="52"/>
      <c r="R426" s="53"/>
      <c r="S426" s="52"/>
      <c r="T426" s="52"/>
      <c r="U426" s="29"/>
      <c r="V426" s="54"/>
      <c r="W426" s="54"/>
    </row>
    <row r="427" ht="15.75" customHeight="1">
      <c r="A427" s="29"/>
      <c r="B427" s="16"/>
      <c r="C427" s="29"/>
      <c r="D427" s="29"/>
      <c r="E427" s="29"/>
      <c r="F427" s="29"/>
      <c r="G427" s="29"/>
      <c r="H427" s="41"/>
      <c r="I427" s="41"/>
      <c r="J427" s="51"/>
      <c r="K427" s="29"/>
      <c r="L427" s="29"/>
      <c r="M427" s="29"/>
      <c r="N427" s="29"/>
      <c r="O427" s="52"/>
      <c r="P427" s="52"/>
      <c r="Q427" s="52"/>
      <c r="R427" s="53"/>
      <c r="S427" s="52"/>
      <c r="T427" s="52"/>
      <c r="U427" s="29"/>
      <c r="V427" s="54"/>
      <c r="W427" s="54"/>
    </row>
    <row r="428" ht="15.75" customHeight="1">
      <c r="A428" s="29"/>
      <c r="B428" s="16"/>
      <c r="C428" s="29"/>
      <c r="D428" s="29"/>
      <c r="E428" s="29"/>
      <c r="F428" s="29"/>
      <c r="G428" s="29"/>
      <c r="H428" s="41"/>
      <c r="I428" s="41"/>
      <c r="J428" s="51"/>
      <c r="K428" s="29"/>
      <c r="L428" s="29"/>
      <c r="M428" s="29"/>
      <c r="N428" s="29"/>
      <c r="O428" s="52"/>
      <c r="P428" s="52"/>
      <c r="Q428" s="52"/>
      <c r="R428" s="53"/>
      <c r="S428" s="52"/>
      <c r="T428" s="52"/>
      <c r="U428" s="29"/>
      <c r="V428" s="54"/>
      <c r="W428" s="54"/>
    </row>
    <row r="429" ht="15.75" customHeight="1">
      <c r="A429" s="29"/>
      <c r="B429" s="16"/>
      <c r="C429" s="29"/>
      <c r="D429" s="29"/>
      <c r="E429" s="29"/>
      <c r="F429" s="29"/>
      <c r="G429" s="29"/>
      <c r="H429" s="41"/>
      <c r="I429" s="41"/>
      <c r="J429" s="51"/>
      <c r="K429" s="29"/>
      <c r="L429" s="29"/>
      <c r="M429" s="29"/>
      <c r="N429" s="29"/>
      <c r="O429" s="52"/>
      <c r="P429" s="52"/>
      <c r="Q429" s="52"/>
      <c r="R429" s="53"/>
      <c r="S429" s="52"/>
      <c r="T429" s="52"/>
      <c r="U429" s="29"/>
      <c r="V429" s="54"/>
      <c r="W429" s="54"/>
    </row>
    <row r="430" ht="15.75" customHeight="1">
      <c r="A430" s="29"/>
      <c r="B430" s="16"/>
      <c r="C430" s="29"/>
      <c r="D430" s="29"/>
      <c r="E430" s="29"/>
      <c r="F430" s="29"/>
      <c r="G430" s="29"/>
      <c r="H430" s="41"/>
      <c r="I430" s="41"/>
      <c r="J430" s="51"/>
      <c r="K430" s="29"/>
      <c r="L430" s="29"/>
      <c r="M430" s="29"/>
      <c r="N430" s="29"/>
      <c r="O430" s="52"/>
      <c r="P430" s="52"/>
      <c r="Q430" s="52"/>
      <c r="R430" s="53"/>
      <c r="S430" s="52"/>
      <c r="T430" s="52"/>
      <c r="U430" s="29"/>
      <c r="V430" s="54"/>
      <c r="W430" s="54"/>
    </row>
    <row r="431" ht="15.75" customHeight="1">
      <c r="A431" s="29"/>
      <c r="B431" s="16"/>
      <c r="C431" s="29"/>
      <c r="D431" s="29"/>
      <c r="E431" s="29"/>
      <c r="F431" s="29"/>
      <c r="G431" s="29"/>
      <c r="H431" s="41"/>
      <c r="I431" s="41"/>
      <c r="J431" s="51"/>
      <c r="K431" s="29"/>
      <c r="L431" s="29"/>
      <c r="M431" s="29"/>
      <c r="N431" s="29"/>
      <c r="O431" s="52"/>
      <c r="P431" s="52"/>
      <c r="Q431" s="52"/>
      <c r="R431" s="53"/>
      <c r="S431" s="52"/>
      <c r="T431" s="52"/>
      <c r="U431" s="29"/>
      <c r="V431" s="54"/>
      <c r="W431" s="54"/>
    </row>
    <row r="432" ht="15.75" customHeight="1">
      <c r="A432" s="29"/>
      <c r="B432" s="16"/>
      <c r="C432" s="29"/>
      <c r="D432" s="29"/>
      <c r="E432" s="29"/>
      <c r="F432" s="29"/>
      <c r="G432" s="29"/>
      <c r="H432" s="41"/>
      <c r="I432" s="41"/>
      <c r="J432" s="51"/>
      <c r="K432" s="29"/>
      <c r="L432" s="29"/>
      <c r="M432" s="29"/>
      <c r="N432" s="29"/>
      <c r="O432" s="52"/>
      <c r="P432" s="52"/>
      <c r="Q432" s="52"/>
      <c r="R432" s="53"/>
      <c r="S432" s="52"/>
      <c r="T432" s="52"/>
      <c r="U432" s="29"/>
      <c r="V432" s="54"/>
      <c r="W432" s="54"/>
    </row>
    <row r="433" ht="15.75" customHeight="1">
      <c r="A433" s="29"/>
      <c r="B433" s="16"/>
      <c r="C433" s="29"/>
      <c r="D433" s="29"/>
      <c r="E433" s="29"/>
      <c r="F433" s="29"/>
      <c r="G433" s="29"/>
      <c r="H433" s="41"/>
      <c r="I433" s="41"/>
      <c r="J433" s="51"/>
      <c r="K433" s="29"/>
      <c r="L433" s="29"/>
      <c r="M433" s="29"/>
      <c r="N433" s="29"/>
      <c r="O433" s="52"/>
      <c r="P433" s="52"/>
      <c r="Q433" s="52"/>
      <c r="R433" s="53"/>
      <c r="S433" s="52"/>
      <c r="T433" s="52"/>
      <c r="U433" s="29"/>
      <c r="V433" s="54"/>
      <c r="W433" s="54"/>
    </row>
    <row r="434" ht="15.75" customHeight="1">
      <c r="A434" s="29"/>
      <c r="B434" s="16"/>
      <c r="C434" s="29"/>
      <c r="D434" s="29"/>
      <c r="E434" s="29"/>
      <c r="F434" s="29"/>
      <c r="G434" s="29"/>
      <c r="H434" s="41"/>
      <c r="I434" s="41"/>
      <c r="J434" s="51"/>
      <c r="K434" s="29"/>
      <c r="L434" s="29"/>
      <c r="M434" s="29"/>
      <c r="N434" s="29"/>
      <c r="O434" s="52"/>
      <c r="P434" s="52"/>
      <c r="Q434" s="52"/>
      <c r="R434" s="53"/>
      <c r="S434" s="52"/>
      <c r="T434" s="52"/>
      <c r="U434" s="29"/>
      <c r="V434" s="54"/>
      <c r="W434" s="54"/>
    </row>
    <row r="435" ht="15.75" customHeight="1">
      <c r="A435" s="29"/>
      <c r="B435" s="16"/>
      <c r="C435" s="29"/>
      <c r="D435" s="29"/>
      <c r="E435" s="29"/>
      <c r="F435" s="29"/>
      <c r="G435" s="29"/>
      <c r="H435" s="41"/>
      <c r="I435" s="41"/>
      <c r="J435" s="51"/>
      <c r="K435" s="29"/>
      <c r="L435" s="29"/>
      <c r="M435" s="29"/>
      <c r="N435" s="29"/>
      <c r="O435" s="52"/>
      <c r="P435" s="52"/>
      <c r="Q435" s="52"/>
      <c r="R435" s="53"/>
      <c r="S435" s="52"/>
      <c r="T435" s="52"/>
      <c r="U435" s="29"/>
      <c r="V435" s="54"/>
      <c r="W435" s="54"/>
    </row>
    <row r="436" ht="15.75" customHeight="1">
      <c r="A436" s="29"/>
      <c r="B436" s="16"/>
      <c r="C436" s="29"/>
      <c r="D436" s="29"/>
      <c r="E436" s="29"/>
      <c r="F436" s="29"/>
      <c r="G436" s="29"/>
      <c r="H436" s="41"/>
      <c r="I436" s="41"/>
      <c r="J436" s="51"/>
      <c r="K436" s="29"/>
      <c r="L436" s="29"/>
      <c r="M436" s="29"/>
      <c r="N436" s="29"/>
      <c r="O436" s="52"/>
      <c r="P436" s="52"/>
      <c r="Q436" s="52"/>
      <c r="R436" s="53"/>
      <c r="S436" s="52"/>
      <c r="T436" s="52"/>
      <c r="U436" s="29"/>
      <c r="V436" s="54"/>
      <c r="W436" s="54"/>
    </row>
    <row r="437" ht="15.75" customHeight="1">
      <c r="A437" s="29"/>
      <c r="B437" s="16"/>
      <c r="C437" s="29"/>
      <c r="D437" s="29"/>
      <c r="E437" s="29"/>
      <c r="F437" s="29"/>
      <c r="G437" s="29"/>
      <c r="H437" s="41"/>
      <c r="I437" s="41"/>
      <c r="J437" s="51"/>
      <c r="K437" s="29"/>
      <c r="L437" s="29"/>
      <c r="M437" s="29"/>
      <c r="N437" s="29"/>
      <c r="O437" s="52"/>
      <c r="P437" s="52"/>
      <c r="Q437" s="52"/>
      <c r="R437" s="53"/>
      <c r="S437" s="52"/>
      <c r="T437" s="52"/>
      <c r="U437" s="29"/>
      <c r="V437" s="54"/>
      <c r="W437" s="54"/>
    </row>
    <row r="438" ht="15.75" customHeight="1">
      <c r="A438" s="29"/>
      <c r="B438" s="16"/>
      <c r="C438" s="29"/>
      <c r="D438" s="29"/>
      <c r="E438" s="29"/>
      <c r="F438" s="29"/>
      <c r="G438" s="29"/>
      <c r="H438" s="41"/>
      <c r="I438" s="41"/>
      <c r="J438" s="51"/>
      <c r="K438" s="29"/>
      <c r="L438" s="29"/>
      <c r="M438" s="29"/>
      <c r="N438" s="29"/>
      <c r="O438" s="52"/>
      <c r="P438" s="52"/>
      <c r="Q438" s="52"/>
      <c r="R438" s="53"/>
      <c r="S438" s="52"/>
      <c r="T438" s="52"/>
      <c r="U438" s="29"/>
      <c r="V438" s="54"/>
      <c r="W438" s="54"/>
    </row>
    <row r="439" ht="15.75" customHeight="1">
      <c r="A439" s="29"/>
      <c r="B439" s="16"/>
      <c r="C439" s="29"/>
      <c r="D439" s="29"/>
      <c r="E439" s="29"/>
      <c r="F439" s="29"/>
      <c r="G439" s="29"/>
      <c r="H439" s="41"/>
      <c r="I439" s="41"/>
      <c r="J439" s="51"/>
      <c r="K439" s="29"/>
      <c r="L439" s="29"/>
      <c r="M439" s="29"/>
      <c r="N439" s="29"/>
      <c r="O439" s="52"/>
      <c r="P439" s="52"/>
      <c r="Q439" s="52"/>
      <c r="R439" s="53"/>
      <c r="S439" s="52"/>
      <c r="T439" s="52"/>
      <c r="U439" s="29"/>
      <c r="V439" s="54"/>
      <c r="W439" s="54"/>
    </row>
    <row r="440" ht="15.75" customHeight="1">
      <c r="A440" s="29"/>
      <c r="B440" s="16"/>
      <c r="C440" s="29"/>
      <c r="D440" s="29"/>
      <c r="E440" s="29"/>
      <c r="F440" s="29"/>
      <c r="G440" s="29"/>
      <c r="H440" s="41"/>
      <c r="I440" s="41"/>
      <c r="J440" s="51"/>
      <c r="K440" s="29"/>
      <c r="L440" s="29"/>
      <c r="M440" s="29"/>
      <c r="N440" s="29"/>
      <c r="O440" s="52"/>
      <c r="P440" s="52"/>
      <c r="Q440" s="52"/>
      <c r="R440" s="53"/>
      <c r="S440" s="52"/>
      <c r="T440" s="52"/>
      <c r="U440" s="29"/>
      <c r="V440" s="54"/>
      <c r="W440" s="54"/>
    </row>
    <row r="441" ht="15.75" customHeight="1">
      <c r="A441" s="29"/>
      <c r="B441" s="16"/>
      <c r="C441" s="29"/>
      <c r="D441" s="29"/>
      <c r="E441" s="29"/>
      <c r="F441" s="29"/>
      <c r="G441" s="29"/>
      <c r="H441" s="41"/>
      <c r="I441" s="41"/>
      <c r="J441" s="51"/>
      <c r="K441" s="29"/>
      <c r="L441" s="29"/>
      <c r="M441" s="29"/>
      <c r="N441" s="29"/>
      <c r="O441" s="52"/>
      <c r="P441" s="52"/>
      <c r="Q441" s="52"/>
      <c r="R441" s="53"/>
      <c r="S441" s="52"/>
      <c r="T441" s="52"/>
      <c r="U441" s="29"/>
      <c r="V441" s="54"/>
      <c r="W441" s="54"/>
    </row>
    <row r="442" ht="15.75" customHeight="1">
      <c r="A442" s="29"/>
      <c r="B442" s="16"/>
      <c r="C442" s="29"/>
      <c r="D442" s="29"/>
      <c r="E442" s="29"/>
      <c r="F442" s="29"/>
      <c r="G442" s="29"/>
      <c r="H442" s="41"/>
      <c r="I442" s="41"/>
      <c r="J442" s="51"/>
      <c r="K442" s="29"/>
      <c r="L442" s="29"/>
      <c r="M442" s="29"/>
      <c r="N442" s="29"/>
      <c r="O442" s="52"/>
      <c r="P442" s="52"/>
      <c r="Q442" s="52"/>
      <c r="R442" s="53"/>
      <c r="S442" s="52"/>
      <c r="T442" s="52"/>
      <c r="U442" s="29"/>
      <c r="V442" s="54"/>
      <c r="W442" s="54"/>
    </row>
    <row r="443" ht="15.75" customHeight="1">
      <c r="A443" s="29"/>
      <c r="B443" s="16"/>
      <c r="C443" s="29"/>
      <c r="D443" s="29"/>
      <c r="E443" s="29"/>
      <c r="F443" s="29"/>
      <c r="G443" s="29"/>
      <c r="H443" s="41"/>
      <c r="I443" s="41"/>
      <c r="J443" s="51"/>
      <c r="K443" s="29"/>
      <c r="L443" s="29"/>
      <c r="M443" s="29"/>
      <c r="N443" s="29"/>
      <c r="O443" s="52"/>
      <c r="P443" s="52"/>
      <c r="Q443" s="52"/>
      <c r="R443" s="53"/>
      <c r="S443" s="52"/>
      <c r="T443" s="52"/>
      <c r="U443" s="29"/>
      <c r="V443" s="54"/>
      <c r="W443" s="54"/>
    </row>
    <row r="444" ht="15.75" customHeight="1">
      <c r="A444" s="29"/>
      <c r="B444" s="16"/>
      <c r="C444" s="29"/>
      <c r="D444" s="29"/>
      <c r="E444" s="29"/>
      <c r="F444" s="29"/>
      <c r="G444" s="29"/>
      <c r="H444" s="41"/>
      <c r="I444" s="41"/>
      <c r="J444" s="51"/>
      <c r="K444" s="29"/>
      <c r="L444" s="29"/>
      <c r="M444" s="29"/>
      <c r="N444" s="29"/>
      <c r="O444" s="52"/>
      <c r="P444" s="52"/>
      <c r="Q444" s="52"/>
      <c r="R444" s="53"/>
      <c r="S444" s="52"/>
      <c r="T444" s="52"/>
      <c r="U444" s="29"/>
      <c r="V444" s="54"/>
      <c r="W444" s="54"/>
    </row>
    <row r="445" ht="15.75" customHeight="1">
      <c r="A445" s="29"/>
      <c r="B445" s="16"/>
      <c r="C445" s="29"/>
      <c r="D445" s="29"/>
      <c r="E445" s="29"/>
      <c r="F445" s="29"/>
      <c r="G445" s="29"/>
      <c r="H445" s="41"/>
      <c r="I445" s="41"/>
      <c r="J445" s="51"/>
      <c r="K445" s="29"/>
      <c r="L445" s="29"/>
      <c r="M445" s="29"/>
      <c r="N445" s="29"/>
      <c r="O445" s="52"/>
      <c r="P445" s="52"/>
      <c r="Q445" s="52"/>
      <c r="R445" s="53"/>
      <c r="S445" s="52"/>
      <c r="T445" s="52"/>
      <c r="U445" s="29"/>
      <c r="V445" s="54"/>
      <c r="W445" s="54"/>
    </row>
    <row r="446" ht="15.75" customHeight="1">
      <c r="A446" s="29"/>
      <c r="B446" s="16"/>
      <c r="C446" s="29"/>
      <c r="D446" s="29"/>
      <c r="E446" s="29"/>
      <c r="F446" s="29"/>
      <c r="G446" s="29"/>
      <c r="H446" s="41"/>
      <c r="I446" s="41"/>
      <c r="J446" s="51"/>
      <c r="K446" s="29"/>
      <c r="L446" s="29"/>
      <c r="M446" s="29"/>
      <c r="N446" s="29"/>
      <c r="O446" s="52"/>
      <c r="P446" s="52"/>
      <c r="Q446" s="52"/>
      <c r="R446" s="53"/>
      <c r="S446" s="52"/>
      <c r="T446" s="52"/>
      <c r="U446" s="29"/>
      <c r="V446" s="54"/>
      <c r="W446" s="54"/>
    </row>
    <row r="447" ht="15.75" customHeight="1">
      <c r="A447" s="29"/>
      <c r="B447" s="16"/>
      <c r="C447" s="29"/>
      <c r="D447" s="29"/>
      <c r="E447" s="29"/>
      <c r="F447" s="29"/>
      <c r="G447" s="29"/>
      <c r="H447" s="41"/>
      <c r="I447" s="41"/>
      <c r="J447" s="51"/>
      <c r="K447" s="29"/>
      <c r="L447" s="29"/>
      <c r="M447" s="29"/>
      <c r="N447" s="29"/>
      <c r="O447" s="52"/>
      <c r="P447" s="52"/>
      <c r="Q447" s="52"/>
      <c r="R447" s="53"/>
      <c r="S447" s="52"/>
      <c r="T447" s="52"/>
      <c r="U447" s="29"/>
      <c r="V447" s="54"/>
      <c r="W447" s="54"/>
    </row>
    <row r="448" ht="15.75" customHeight="1">
      <c r="A448" s="29"/>
      <c r="B448" s="16"/>
      <c r="C448" s="29"/>
      <c r="D448" s="29"/>
      <c r="E448" s="29"/>
      <c r="F448" s="29"/>
      <c r="G448" s="29"/>
      <c r="H448" s="41"/>
      <c r="I448" s="41"/>
      <c r="J448" s="51"/>
      <c r="K448" s="29"/>
      <c r="L448" s="29"/>
      <c r="M448" s="29"/>
      <c r="N448" s="29"/>
      <c r="O448" s="52"/>
      <c r="P448" s="52"/>
      <c r="Q448" s="52"/>
      <c r="R448" s="53"/>
      <c r="S448" s="52"/>
      <c r="T448" s="52"/>
      <c r="U448" s="29"/>
      <c r="V448" s="54"/>
      <c r="W448" s="54"/>
    </row>
    <row r="449" ht="15.75" customHeight="1">
      <c r="A449" s="29"/>
      <c r="B449" s="16"/>
      <c r="C449" s="29"/>
      <c r="D449" s="29"/>
      <c r="E449" s="29"/>
      <c r="F449" s="29"/>
      <c r="G449" s="29"/>
      <c r="H449" s="41"/>
      <c r="I449" s="41"/>
      <c r="J449" s="51"/>
      <c r="K449" s="29"/>
      <c r="L449" s="29"/>
      <c r="M449" s="29"/>
      <c r="N449" s="29"/>
      <c r="O449" s="52"/>
      <c r="P449" s="52"/>
      <c r="Q449" s="52"/>
      <c r="R449" s="53"/>
      <c r="S449" s="52"/>
      <c r="T449" s="52"/>
      <c r="U449" s="29"/>
      <c r="V449" s="54"/>
      <c r="W449" s="54"/>
    </row>
    <row r="450" ht="15.75" customHeight="1">
      <c r="A450" s="29"/>
      <c r="B450" s="16"/>
      <c r="C450" s="29"/>
      <c r="D450" s="29"/>
      <c r="E450" s="29"/>
      <c r="F450" s="29"/>
      <c r="G450" s="29"/>
      <c r="H450" s="41"/>
      <c r="I450" s="41"/>
      <c r="J450" s="51"/>
      <c r="K450" s="29"/>
      <c r="L450" s="29"/>
      <c r="M450" s="29"/>
      <c r="N450" s="29"/>
      <c r="O450" s="52"/>
      <c r="P450" s="52"/>
      <c r="Q450" s="52"/>
      <c r="R450" s="53"/>
      <c r="S450" s="52"/>
      <c r="T450" s="52"/>
      <c r="U450" s="29"/>
      <c r="V450" s="54"/>
      <c r="W450" s="54"/>
    </row>
    <row r="451" ht="15.75" customHeight="1">
      <c r="A451" s="29"/>
      <c r="B451" s="16"/>
      <c r="C451" s="29"/>
      <c r="D451" s="29"/>
      <c r="E451" s="29"/>
      <c r="F451" s="29"/>
      <c r="G451" s="29"/>
      <c r="H451" s="41"/>
      <c r="I451" s="41"/>
      <c r="J451" s="51"/>
      <c r="K451" s="29"/>
      <c r="L451" s="29"/>
      <c r="M451" s="29"/>
      <c r="N451" s="29"/>
      <c r="O451" s="52"/>
      <c r="P451" s="52"/>
      <c r="Q451" s="52"/>
      <c r="R451" s="53"/>
      <c r="S451" s="52"/>
      <c r="T451" s="52"/>
      <c r="U451" s="29"/>
      <c r="V451" s="54"/>
      <c r="W451" s="54"/>
    </row>
    <row r="452" ht="15.75" customHeight="1">
      <c r="A452" s="29"/>
      <c r="B452" s="16"/>
      <c r="C452" s="29"/>
      <c r="D452" s="29"/>
      <c r="E452" s="29"/>
      <c r="F452" s="29"/>
      <c r="G452" s="29"/>
      <c r="H452" s="41"/>
      <c r="I452" s="41"/>
      <c r="J452" s="51"/>
      <c r="K452" s="29"/>
      <c r="L452" s="29"/>
      <c r="M452" s="29"/>
      <c r="N452" s="29"/>
      <c r="O452" s="52"/>
      <c r="P452" s="52"/>
      <c r="Q452" s="52"/>
      <c r="R452" s="53"/>
      <c r="S452" s="52"/>
      <c r="T452" s="52"/>
      <c r="U452" s="29"/>
      <c r="V452" s="54"/>
      <c r="W452" s="54"/>
    </row>
    <row r="453" ht="15.75" customHeight="1">
      <c r="A453" s="29"/>
      <c r="B453" s="16"/>
      <c r="C453" s="29"/>
      <c r="D453" s="29"/>
      <c r="E453" s="29"/>
      <c r="F453" s="29"/>
      <c r="G453" s="29"/>
      <c r="H453" s="41"/>
      <c r="I453" s="41"/>
      <c r="J453" s="51"/>
      <c r="K453" s="29"/>
      <c r="L453" s="29"/>
      <c r="M453" s="29"/>
      <c r="N453" s="29"/>
      <c r="O453" s="52"/>
      <c r="P453" s="52"/>
      <c r="Q453" s="52"/>
      <c r="R453" s="53"/>
      <c r="S453" s="52"/>
      <c r="T453" s="52"/>
      <c r="U453" s="29"/>
      <c r="V453" s="54"/>
      <c r="W453" s="54"/>
    </row>
    <row r="454" ht="15.75" customHeight="1">
      <c r="A454" s="29"/>
      <c r="B454" s="16"/>
      <c r="C454" s="29"/>
      <c r="D454" s="29"/>
      <c r="E454" s="29"/>
      <c r="F454" s="29"/>
      <c r="G454" s="29"/>
      <c r="H454" s="41"/>
      <c r="I454" s="41"/>
      <c r="J454" s="51"/>
      <c r="K454" s="29"/>
      <c r="L454" s="29"/>
      <c r="M454" s="29"/>
      <c r="N454" s="29"/>
      <c r="O454" s="52"/>
      <c r="P454" s="52"/>
      <c r="Q454" s="52"/>
      <c r="R454" s="53"/>
      <c r="S454" s="52"/>
      <c r="T454" s="52"/>
      <c r="U454" s="29"/>
      <c r="V454" s="54"/>
      <c r="W454" s="54"/>
    </row>
    <row r="455" ht="15.75" customHeight="1">
      <c r="A455" s="29"/>
      <c r="B455" s="16"/>
      <c r="C455" s="29"/>
      <c r="D455" s="29"/>
      <c r="E455" s="29"/>
      <c r="F455" s="29"/>
      <c r="G455" s="29"/>
      <c r="H455" s="41"/>
      <c r="I455" s="41"/>
      <c r="J455" s="51"/>
      <c r="K455" s="29"/>
      <c r="L455" s="29"/>
      <c r="M455" s="29"/>
      <c r="N455" s="29"/>
      <c r="O455" s="52"/>
      <c r="P455" s="52"/>
      <c r="Q455" s="52"/>
      <c r="R455" s="53"/>
      <c r="S455" s="52"/>
      <c r="T455" s="52"/>
      <c r="U455" s="29"/>
      <c r="V455" s="54"/>
      <c r="W455" s="54"/>
    </row>
    <row r="456" ht="15.75" customHeight="1">
      <c r="A456" s="29"/>
      <c r="B456" s="16"/>
      <c r="C456" s="29"/>
      <c r="D456" s="29"/>
      <c r="E456" s="29"/>
      <c r="F456" s="29"/>
      <c r="G456" s="29"/>
      <c r="H456" s="41"/>
      <c r="I456" s="41"/>
      <c r="J456" s="51"/>
      <c r="K456" s="29"/>
      <c r="L456" s="29"/>
      <c r="M456" s="29"/>
      <c r="N456" s="29"/>
      <c r="O456" s="52"/>
      <c r="P456" s="52"/>
      <c r="Q456" s="52"/>
      <c r="R456" s="53"/>
      <c r="S456" s="52"/>
      <c r="T456" s="52"/>
      <c r="U456" s="29"/>
      <c r="V456" s="54"/>
      <c r="W456" s="54"/>
    </row>
    <row r="457" ht="15.75" customHeight="1">
      <c r="A457" s="29"/>
      <c r="B457" s="16"/>
      <c r="C457" s="29"/>
      <c r="D457" s="29"/>
      <c r="E457" s="29"/>
      <c r="F457" s="29"/>
      <c r="G457" s="29"/>
      <c r="H457" s="41"/>
      <c r="I457" s="41"/>
      <c r="J457" s="51"/>
      <c r="K457" s="29"/>
      <c r="L457" s="29"/>
      <c r="M457" s="29"/>
      <c r="N457" s="29"/>
      <c r="O457" s="52"/>
      <c r="P457" s="52"/>
      <c r="Q457" s="52"/>
      <c r="R457" s="53"/>
      <c r="S457" s="52"/>
      <c r="T457" s="52"/>
      <c r="U457" s="29"/>
      <c r="V457" s="54"/>
      <c r="W457" s="54"/>
    </row>
    <row r="458" ht="15.75" customHeight="1">
      <c r="A458" s="29"/>
      <c r="B458" s="16"/>
      <c r="C458" s="29"/>
      <c r="D458" s="29"/>
      <c r="E458" s="29"/>
      <c r="F458" s="29"/>
      <c r="G458" s="29"/>
      <c r="H458" s="41"/>
      <c r="I458" s="41"/>
      <c r="J458" s="51"/>
      <c r="K458" s="29"/>
      <c r="L458" s="29"/>
      <c r="M458" s="29"/>
      <c r="N458" s="29"/>
      <c r="O458" s="52"/>
      <c r="P458" s="52"/>
      <c r="Q458" s="52"/>
      <c r="R458" s="53"/>
      <c r="S458" s="52"/>
      <c r="T458" s="52"/>
      <c r="U458" s="29"/>
      <c r="V458" s="54"/>
      <c r="W458" s="54"/>
    </row>
    <row r="459" ht="15.75" customHeight="1">
      <c r="A459" s="29"/>
      <c r="B459" s="16"/>
      <c r="C459" s="29"/>
      <c r="D459" s="29"/>
      <c r="E459" s="29"/>
      <c r="F459" s="29"/>
      <c r="G459" s="29"/>
      <c r="H459" s="41"/>
      <c r="I459" s="41"/>
      <c r="J459" s="51"/>
      <c r="K459" s="29"/>
      <c r="L459" s="29"/>
      <c r="M459" s="29"/>
      <c r="N459" s="29"/>
      <c r="O459" s="52"/>
      <c r="P459" s="52"/>
      <c r="Q459" s="52"/>
      <c r="R459" s="53"/>
      <c r="S459" s="52"/>
      <c r="T459" s="52"/>
      <c r="U459" s="29"/>
      <c r="V459" s="54"/>
      <c r="W459" s="54"/>
    </row>
    <row r="460" ht="15.75" customHeight="1">
      <c r="A460" s="29"/>
      <c r="B460" s="16"/>
      <c r="C460" s="29"/>
      <c r="D460" s="29"/>
      <c r="E460" s="29"/>
      <c r="F460" s="29"/>
      <c r="G460" s="29"/>
      <c r="H460" s="41"/>
      <c r="I460" s="41"/>
      <c r="J460" s="51"/>
      <c r="K460" s="29"/>
      <c r="L460" s="29"/>
      <c r="M460" s="29"/>
      <c r="N460" s="29"/>
      <c r="O460" s="52"/>
      <c r="P460" s="52"/>
      <c r="Q460" s="52"/>
      <c r="R460" s="53"/>
      <c r="S460" s="52"/>
      <c r="T460" s="52"/>
      <c r="U460" s="29"/>
      <c r="V460" s="54"/>
      <c r="W460" s="54"/>
    </row>
    <row r="461" ht="15.75" customHeight="1">
      <c r="A461" s="29"/>
      <c r="B461" s="16"/>
      <c r="C461" s="29"/>
      <c r="D461" s="29"/>
      <c r="E461" s="29"/>
      <c r="F461" s="29"/>
      <c r="G461" s="29"/>
      <c r="H461" s="41"/>
      <c r="I461" s="41"/>
      <c r="J461" s="51"/>
      <c r="K461" s="29"/>
      <c r="L461" s="29"/>
      <c r="M461" s="29"/>
      <c r="N461" s="29"/>
      <c r="O461" s="52"/>
      <c r="P461" s="52"/>
      <c r="Q461" s="52"/>
      <c r="R461" s="53"/>
      <c r="S461" s="52"/>
      <c r="T461" s="52"/>
      <c r="U461" s="29"/>
      <c r="V461" s="54"/>
      <c r="W461" s="54"/>
    </row>
    <row r="462" ht="15.75" customHeight="1">
      <c r="A462" s="29"/>
      <c r="B462" s="16"/>
      <c r="C462" s="29"/>
      <c r="D462" s="29"/>
      <c r="E462" s="29"/>
      <c r="F462" s="29"/>
      <c r="G462" s="29"/>
      <c r="H462" s="41"/>
      <c r="I462" s="41"/>
      <c r="J462" s="51"/>
      <c r="K462" s="29"/>
      <c r="L462" s="29"/>
      <c r="M462" s="29"/>
      <c r="N462" s="29"/>
      <c r="O462" s="52"/>
      <c r="P462" s="52"/>
      <c r="Q462" s="52"/>
      <c r="R462" s="53"/>
      <c r="S462" s="52"/>
      <c r="T462" s="52"/>
      <c r="U462" s="29"/>
      <c r="V462" s="54"/>
      <c r="W462" s="54"/>
    </row>
    <row r="463" ht="15.75" customHeight="1">
      <c r="A463" s="29"/>
      <c r="B463" s="16"/>
      <c r="C463" s="29"/>
      <c r="D463" s="29"/>
      <c r="E463" s="29"/>
      <c r="F463" s="29"/>
      <c r="G463" s="29"/>
      <c r="H463" s="41"/>
      <c r="I463" s="41"/>
      <c r="J463" s="51"/>
      <c r="K463" s="29"/>
      <c r="L463" s="29"/>
      <c r="M463" s="29"/>
      <c r="N463" s="29"/>
      <c r="O463" s="52"/>
      <c r="P463" s="52"/>
      <c r="Q463" s="52"/>
      <c r="R463" s="53"/>
      <c r="S463" s="52"/>
      <c r="T463" s="52"/>
      <c r="U463" s="29"/>
      <c r="V463" s="54"/>
      <c r="W463" s="54"/>
    </row>
    <row r="464" ht="15.75" customHeight="1">
      <c r="A464" s="29"/>
      <c r="B464" s="16"/>
      <c r="C464" s="29"/>
      <c r="D464" s="29"/>
      <c r="E464" s="29"/>
      <c r="F464" s="29"/>
      <c r="G464" s="29"/>
      <c r="H464" s="41"/>
      <c r="I464" s="41"/>
      <c r="J464" s="51"/>
      <c r="K464" s="29"/>
      <c r="L464" s="29"/>
      <c r="M464" s="29"/>
      <c r="N464" s="29"/>
      <c r="O464" s="52"/>
      <c r="P464" s="52"/>
      <c r="Q464" s="52"/>
      <c r="R464" s="53"/>
      <c r="S464" s="52"/>
      <c r="T464" s="52"/>
      <c r="U464" s="29"/>
      <c r="V464" s="54"/>
      <c r="W464" s="54"/>
    </row>
    <row r="465" ht="15.75" customHeight="1">
      <c r="A465" s="29"/>
      <c r="B465" s="16"/>
      <c r="C465" s="29"/>
      <c r="D465" s="29"/>
      <c r="E465" s="29"/>
      <c r="F465" s="29"/>
      <c r="G465" s="29"/>
      <c r="H465" s="41"/>
      <c r="I465" s="41"/>
      <c r="J465" s="51"/>
      <c r="K465" s="29"/>
      <c r="L465" s="29"/>
      <c r="M465" s="29"/>
      <c r="N465" s="29"/>
      <c r="O465" s="52"/>
      <c r="P465" s="52"/>
      <c r="Q465" s="52"/>
      <c r="R465" s="53"/>
      <c r="S465" s="52"/>
      <c r="T465" s="52"/>
      <c r="U465" s="29"/>
      <c r="V465" s="54"/>
      <c r="W465" s="54"/>
    </row>
    <row r="466" ht="15.75" customHeight="1">
      <c r="A466" s="29"/>
      <c r="B466" s="16"/>
      <c r="C466" s="29"/>
      <c r="D466" s="29"/>
      <c r="E466" s="29"/>
      <c r="F466" s="29"/>
      <c r="G466" s="29"/>
      <c r="H466" s="41"/>
      <c r="I466" s="41"/>
      <c r="J466" s="51"/>
      <c r="K466" s="29"/>
      <c r="L466" s="29"/>
      <c r="M466" s="29"/>
      <c r="N466" s="29"/>
      <c r="O466" s="52"/>
      <c r="P466" s="52"/>
      <c r="Q466" s="52"/>
      <c r="R466" s="53"/>
      <c r="S466" s="52"/>
      <c r="T466" s="52"/>
      <c r="U466" s="29"/>
      <c r="V466" s="54"/>
      <c r="W466" s="54"/>
    </row>
    <row r="467" ht="15.75" customHeight="1">
      <c r="A467" s="29"/>
      <c r="B467" s="16"/>
      <c r="C467" s="29"/>
      <c r="D467" s="29"/>
      <c r="E467" s="29"/>
      <c r="F467" s="29"/>
      <c r="G467" s="29"/>
      <c r="H467" s="41"/>
      <c r="I467" s="41"/>
      <c r="J467" s="51"/>
      <c r="K467" s="29"/>
      <c r="L467" s="29"/>
      <c r="M467" s="29"/>
      <c r="N467" s="29"/>
      <c r="O467" s="52"/>
      <c r="P467" s="52"/>
      <c r="Q467" s="52"/>
      <c r="R467" s="53"/>
      <c r="S467" s="52"/>
      <c r="T467" s="52"/>
      <c r="U467" s="29"/>
      <c r="V467" s="54"/>
      <c r="W467" s="54"/>
    </row>
    <row r="468" ht="15.75" customHeight="1">
      <c r="A468" s="29"/>
      <c r="B468" s="16"/>
      <c r="C468" s="29"/>
      <c r="D468" s="29"/>
      <c r="E468" s="29"/>
      <c r="F468" s="29"/>
      <c r="G468" s="29"/>
      <c r="H468" s="41"/>
      <c r="I468" s="41"/>
      <c r="J468" s="51"/>
      <c r="K468" s="29"/>
      <c r="L468" s="29"/>
      <c r="M468" s="29"/>
      <c r="N468" s="29"/>
      <c r="O468" s="52"/>
      <c r="P468" s="52"/>
      <c r="Q468" s="52"/>
      <c r="R468" s="53"/>
      <c r="S468" s="52"/>
      <c r="T468" s="52"/>
      <c r="U468" s="29"/>
      <c r="V468" s="54"/>
      <c r="W468" s="54"/>
    </row>
    <row r="469" ht="15.75" customHeight="1">
      <c r="A469" s="29"/>
      <c r="B469" s="16"/>
      <c r="C469" s="29"/>
      <c r="D469" s="29"/>
      <c r="E469" s="29"/>
      <c r="F469" s="29"/>
      <c r="G469" s="29"/>
      <c r="H469" s="41"/>
      <c r="I469" s="41"/>
      <c r="J469" s="51"/>
      <c r="K469" s="29"/>
      <c r="L469" s="29"/>
      <c r="M469" s="29"/>
      <c r="N469" s="29"/>
      <c r="O469" s="52"/>
      <c r="P469" s="52"/>
      <c r="Q469" s="52"/>
      <c r="R469" s="53"/>
      <c r="S469" s="52"/>
      <c r="T469" s="52"/>
      <c r="U469" s="29"/>
      <c r="V469" s="54"/>
      <c r="W469" s="54"/>
    </row>
    <row r="470" ht="15.75" customHeight="1">
      <c r="A470" s="29"/>
      <c r="B470" s="16"/>
      <c r="C470" s="29"/>
      <c r="D470" s="29"/>
      <c r="E470" s="29"/>
      <c r="F470" s="29"/>
      <c r="G470" s="29"/>
      <c r="H470" s="41"/>
      <c r="I470" s="41"/>
      <c r="J470" s="51"/>
      <c r="K470" s="29"/>
      <c r="L470" s="29"/>
      <c r="M470" s="29"/>
      <c r="N470" s="29"/>
      <c r="O470" s="52"/>
      <c r="P470" s="52"/>
      <c r="Q470" s="52"/>
      <c r="R470" s="53"/>
      <c r="S470" s="52"/>
      <c r="T470" s="52"/>
      <c r="U470" s="29"/>
      <c r="V470" s="54"/>
      <c r="W470" s="54"/>
    </row>
    <row r="471" ht="15.75" customHeight="1">
      <c r="A471" s="29"/>
      <c r="B471" s="16"/>
      <c r="C471" s="29"/>
      <c r="D471" s="29"/>
      <c r="E471" s="29"/>
      <c r="F471" s="29"/>
      <c r="G471" s="29"/>
      <c r="H471" s="41"/>
      <c r="I471" s="41"/>
      <c r="J471" s="51"/>
      <c r="K471" s="29"/>
      <c r="L471" s="29"/>
      <c r="M471" s="29"/>
      <c r="N471" s="29"/>
      <c r="O471" s="52"/>
      <c r="P471" s="52"/>
      <c r="Q471" s="52"/>
      <c r="R471" s="53"/>
      <c r="S471" s="52"/>
      <c r="T471" s="52"/>
      <c r="U471" s="29"/>
      <c r="V471" s="54"/>
      <c r="W471" s="54"/>
    </row>
    <row r="472" ht="15.75" customHeight="1">
      <c r="A472" s="29"/>
      <c r="B472" s="16"/>
      <c r="C472" s="29"/>
      <c r="D472" s="29"/>
      <c r="E472" s="29"/>
      <c r="F472" s="29"/>
      <c r="G472" s="29"/>
      <c r="H472" s="41"/>
      <c r="I472" s="41"/>
      <c r="J472" s="51"/>
      <c r="K472" s="29"/>
      <c r="L472" s="29"/>
      <c r="M472" s="29"/>
      <c r="N472" s="29"/>
      <c r="O472" s="52"/>
      <c r="P472" s="52"/>
      <c r="Q472" s="52"/>
      <c r="R472" s="53"/>
      <c r="S472" s="52"/>
      <c r="T472" s="52"/>
      <c r="U472" s="29"/>
      <c r="V472" s="54"/>
      <c r="W472" s="54"/>
    </row>
    <row r="473" ht="15.75" customHeight="1">
      <c r="A473" s="29"/>
      <c r="B473" s="16"/>
      <c r="C473" s="29"/>
      <c r="D473" s="29"/>
      <c r="E473" s="29"/>
      <c r="F473" s="29"/>
      <c r="G473" s="29"/>
      <c r="H473" s="41"/>
      <c r="I473" s="41"/>
      <c r="J473" s="51"/>
      <c r="K473" s="29"/>
      <c r="L473" s="29"/>
      <c r="M473" s="29"/>
      <c r="N473" s="29"/>
      <c r="O473" s="52"/>
      <c r="P473" s="52"/>
      <c r="Q473" s="52"/>
      <c r="R473" s="53"/>
      <c r="S473" s="52"/>
      <c r="T473" s="52"/>
      <c r="U473" s="29"/>
      <c r="V473" s="54"/>
      <c r="W473" s="54"/>
    </row>
    <row r="474" ht="15.75" customHeight="1">
      <c r="A474" s="29"/>
      <c r="B474" s="16"/>
      <c r="C474" s="29"/>
      <c r="D474" s="29"/>
      <c r="E474" s="29"/>
      <c r="F474" s="29"/>
      <c r="G474" s="29"/>
      <c r="H474" s="41"/>
      <c r="I474" s="41"/>
      <c r="J474" s="51"/>
      <c r="K474" s="29"/>
      <c r="L474" s="29"/>
      <c r="M474" s="29"/>
      <c r="N474" s="29"/>
      <c r="O474" s="52"/>
      <c r="P474" s="52"/>
      <c r="Q474" s="52"/>
      <c r="R474" s="53"/>
      <c r="S474" s="52"/>
      <c r="T474" s="52"/>
      <c r="U474" s="29"/>
      <c r="V474" s="54"/>
      <c r="W474" s="54"/>
    </row>
    <row r="475" ht="15.75" customHeight="1">
      <c r="A475" s="29"/>
      <c r="B475" s="16"/>
      <c r="C475" s="29"/>
      <c r="D475" s="29"/>
      <c r="E475" s="29"/>
      <c r="F475" s="29"/>
      <c r="G475" s="29"/>
      <c r="H475" s="41"/>
      <c r="I475" s="41"/>
      <c r="J475" s="51"/>
      <c r="K475" s="29"/>
      <c r="L475" s="29"/>
      <c r="M475" s="29"/>
      <c r="N475" s="29"/>
      <c r="O475" s="52"/>
      <c r="P475" s="52"/>
      <c r="Q475" s="52"/>
      <c r="R475" s="53"/>
      <c r="S475" s="52"/>
      <c r="T475" s="52"/>
      <c r="U475" s="29"/>
      <c r="V475" s="54"/>
      <c r="W475" s="54"/>
    </row>
    <row r="476" ht="15.75" customHeight="1">
      <c r="A476" s="29"/>
      <c r="B476" s="16"/>
      <c r="C476" s="29"/>
      <c r="D476" s="29"/>
      <c r="E476" s="29"/>
      <c r="F476" s="29"/>
      <c r="G476" s="29"/>
      <c r="H476" s="41"/>
      <c r="I476" s="41"/>
      <c r="J476" s="51"/>
      <c r="K476" s="29"/>
      <c r="L476" s="29"/>
      <c r="M476" s="29"/>
      <c r="N476" s="29"/>
      <c r="O476" s="52"/>
      <c r="P476" s="52"/>
      <c r="Q476" s="52"/>
      <c r="R476" s="53"/>
      <c r="S476" s="52"/>
      <c r="T476" s="52"/>
      <c r="U476" s="29"/>
      <c r="V476" s="54"/>
      <c r="W476" s="54"/>
    </row>
    <row r="477" ht="15.75" customHeight="1">
      <c r="A477" s="29"/>
      <c r="B477" s="16"/>
      <c r="C477" s="29"/>
      <c r="D477" s="29"/>
      <c r="E477" s="29"/>
      <c r="F477" s="29"/>
      <c r="G477" s="29"/>
      <c r="H477" s="41"/>
      <c r="I477" s="41"/>
      <c r="J477" s="51"/>
      <c r="K477" s="29"/>
      <c r="L477" s="29"/>
      <c r="M477" s="29"/>
      <c r="N477" s="29"/>
      <c r="O477" s="52"/>
      <c r="P477" s="52"/>
      <c r="Q477" s="52"/>
      <c r="R477" s="53"/>
      <c r="S477" s="52"/>
      <c r="T477" s="52"/>
      <c r="U477" s="29"/>
      <c r="V477" s="54"/>
      <c r="W477" s="54"/>
    </row>
    <row r="478" ht="15.75" customHeight="1">
      <c r="A478" s="29"/>
      <c r="B478" s="16"/>
      <c r="C478" s="29"/>
      <c r="D478" s="29"/>
      <c r="E478" s="29"/>
      <c r="F478" s="29"/>
      <c r="G478" s="29"/>
      <c r="H478" s="41"/>
      <c r="I478" s="41"/>
      <c r="J478" s="51"/>
      <c r="K478" s="29"/>
      <c r="L478" s="29"/>
      <c r="M478" s="29"/>
      <c r="N478" s="29"/>
      <c r="O478" s="52"/>
      <c r="P478" s="52"/>
      <c r="Q478" s="52"/>
      <c r="R478" s="53"/>
      <c r="S478" s="52"/>
      <c r="T478" s="52"/>
      <c r="U478" s="29"/>
      <c r="V478" s="54"/>
      <c r="W478" s="54"/>
    </row>
    <row r="479" ht="15.75" customHeight="1">
      <c r="A479" s="29"/>
      <c r="B479" s="16"/>
      <c r="C479" s="29"/>
      <c r="D479" s="29"/>
      <c r="E479" s="29"/>
      <c r="F479" s="29"/>
      <c r="G479" s="29"/>
      <c r="H479" s="41"/>
      <c r="I479" s="41"/>
      <c r="J479" s="51"/>
      <c r="K479" s="29"/>
      <c r="L479" s="29"/>
      <c r="M479" s="29"/>
      <c r="N479" s="29"/>
      <c r="O479" s="52"/>
      <c r="P479" s="52"/>
      <c r="Q479" s="52"/>
      <c r="R479" s="53"/>
      <c r="S479" s="52"/>
      <c r="T479" s="52"/>
      <c r="U479" s="29"/>
      <c r="V479" s="54"/>
      <c r="W479" s="54"/>
    </row>
    <row r="480" ht="15.75" customHeight="1">
      <c r="A480" s="29"/>
      <c r="B480" s="16"/>
      <c r="C480" s="29"/>
      <c r="D480" s="29"/>
      <c r="E480" s="29"/>
      <c r="F480" s="29"/>
      <c r="G480" s="29"/>
      <c r="H480" s="41"/>
      <c r="I480" s="41"/>
      <c r="J480" s="51"/>
      <c r="K480" s="29"/>
      <c r="L480" s="29"/>
      <c r="M480" s="29"/>
      <c r="N480" s="29"/>
      <c r="O480" s="52"/>
      <c r="P480" s="52"/>
      <c r="Q480" s="52"/>
      <c r="R480" s="53"/>
      <c r="S480" s="52"/>
      <c r="T480" s="52"/>
      <c r="U480" s="29"/>
      <c r="V480" s="54"/>
      <c r="W480" s="54"/>
    </row>
    <row r="481" ht="15.75" customHeight="1">
      <c r="A481" s="29"/>
      <c r="B481" s="16"/>
      <c r="C481" s="29"/>
      <c r="D481" s="29"/>
      <c r="E481" s="29"/>
      <c r="F481" s="29"/>
      <c r="G481" s="29"/>
      <c r="H481" s="41"/>
      <c r="I481" s="41"/>
      <c r="J481" s="51"/>
      <c r="K481" s="29"/>
      <c r="L481" s="29"/>
      <c r="M481" s="29"/>
      <c r="N481" s="29"/>
      <c r="O481" s="52"/>
      <c r="P481" s="52"/>
      <c r="Q481" s="52"/>
      <c r="R481" s="53"/>
      <c r="S481" s="52"/>
      <c r="T481" s="52"/>
      <c r="U481" s="29"/>
      <c r="V481" s="54"/>
      <c r="W481" s="54"/>
    </row>
    <row r="482" ht="15.75" customHeight="1">
      <c r="A482" s="29"/>
      <c r="B482" s="16"/>
      <c r="C482" s="29"/>
      <c r="D482" s="29"/>
      <c r="E482" s="29"/>
      <c r="F482" s="29"/>
      <c r="G482" s="29"/>
      <c r="H482" s="41"/>
      <c r="I482" s="41"/>
      <c r="J482" s="51"/>
      <c r="K482" s="29"/>
      <c r="L482" s="29"/>
      <c r="M482" s="29"/>
      <c r="N482" s="29"/>
      <c r="O482" s="52"/>
      <c r="P482" s="52"/>
      <c r="Q482" s="52"/>
      <c r="R482" s="53"/>
      <c r="S482" s="52"/>
      <c r="T482" s="52"/>
      <c r="U482" s="29"/>
      <c r="V482" s="54"/>
      <c r="W482" s="54"/>
    </row>
    <row r="483" ht="15.75" customHeight="1">
      <c r="A483" s="29"/>
      <c r="B483" s="16"/>
      <c r="C483" s="29"/>
      <c r="D483" s="29"/>
      <c r="E483" s="29"/>
      <c r="F483" s="29"/>
      <c r="G483" s="29"/>
      <c r="H483" s="41"/>
      <c r="I483" s="41"/>
      <c r="J483" s="51"/>
      <c r="K483" s="29"/>
      <c r="L483" s="29"/>
      <c r="M483" s="29"/>
      <c r="N483" s="29"/>
      <c r="O483" s="52"/>
      <c r="P483" s="52"/>
      <c r="Q483" s="52"/>
      <c r="R483" s="53"/>
      <c r="S483" s="52"/>
      <c r="T483" s="52"/>
      <c r="U483" s="29"/>
      <c r="V483" s="54"/>
      <c r="W483" s="54"/>
    </row>
    <row r="484" ht="15.75" customHeight="1">
      <c r="A484" s="29"/>
      <c r="B484" s="16"/>
      <c r="C484" s="29"/>
      <c r="D484" s="29"/>
      <c r="E484" s="29"/>
      <c r="F484" s="29"/>
      <c r="G484" s="29"/>
      <c r="H484" s="41"/>
      <c r="I484" s="41"/>
      <c r="J484" s="51"/>
      <c r="K484" s="29"/>
      <c r="L484" s="29"/>
      <c r="M484" s="29"/>
      <c r="N484" s="29"/>
      <c r="O484" s="52"/>
      <c r="P484" s="52"/>
      <c r="Q484" s="52"/>
      <c r="R484" s="53"/>
      <c r="S484" s="52"/>
      <c r="T484" s="52"/>
      <c r="U484" s="29"/>
      <c r="V484" s="54"/>
      <c r="W484" s="54"/>
    </row>
    <row r="485" ht="15.75" customHeight="1">
      <c r="A485" s="29"/>
      <c r="B485" s="16"/>
      <c r="C485" s="29"/>
      <c r="D485" s="29"/>
      <c r="E485" s="29"/>
      <c r="F485" s="29"/>
      <c r="G485" s="29"/>
      <c r="H485" s="41"/>
      <c r="I485" s="41"/>
      <c r="J485" s="51"/>
      <c r="K485" s="29"/>
      <c r="L485" s="29"/>
      <c r="M485" s="29"/>
      <c r="N485" s="29"/>
      <c r="O485" s="52"/>
      <c r="P485" s="52"/>
      <c r="Q485" s="52"/>
      <c r="R485" s="53"/>
      <c r="S485" s="52"/>
      <c r="T485" s="52"/>
      <c r="U485" s="29"/>
      <c r="V485" s="54"/>
      <c r="W485" s="54"/>
    </row>
    <row r="486" ht="15.75" customHeight="1">
      <c r="A486" s="29"/>
      <c r="B486" s="16"/>
      <c r="C486" s="29"/>
      <c r="D486" s="29"/>
      <c r="E486" s="29"/>
      <c r="F486" s="29"/>
      <c r="G486" s="29"/>
      <c r="H486" s="41"/>
      <c r="I486" s="41"/>
      <c r="J486" s="51"/>
      <c r="K486" s="29"/>
      <c r="L486" s="29"/>
      <c r="M486" s="29"/>
      <c r="N486" s="29"/>
      <c r="O486" s="52"/>
      <c r="P486" s="52"/>
      <c r="Q486" s="52"/>
      <c r="R486" s="53"/>
      <c r="S486" s="52"/>
      <c r="T486" s="52"/>
      <c r="U486" s="29"/>
      <c r="V486" s="54"/>
      <c r="W486" s="54"/>
    </row>
    <row r="487" ht="15.75" customHeight="1">
      <c r="A487" s="29"/>
      <c r="B487" s="16"/>
      <c r="C487" s="29"/>
      <c r="D487" s="29"/>
      <c r="E487" s="29"/>
      <c r="F487" s="29"/>
      <c r="G487" s="29"/>
      <c r="H487" s="41"/>
      <c r="I487" s="41"/>
      <c r="J487" s="51"/>
      <c r="K487" s="29"/>
      <c r="L487" s="29"/>
      <c r="M487" s="29"/>
      <c r="N487" s="29"/>
      <c r="O487" s="52"/>
      <c r="P487" s="52"/>
      <c r="Q487" s="52"/>
      <c r="R487" s="53"/>
      <c r="S487" s="52"/>
      <c r="T487" s="52"/>
      <c r="U487" s="29"/>
      <c r="V487" s="54"/>
      <c r="W487" s="54"/>
    </row>
    <row r="488" ht="15.75" customHeight="1">
      <c r="A488" s="29"/>
      <c r="B488" s="16"/>
      <c r="C488" s="29"/>
      <c r="D488" s="29"/>
      <c r="E488" s="29"/>
      <c r="F488" s="29"/>
      <c r="G488" s="29"/>
      <c r="H488" s="41"/>
      <c r="I488" s="41"/>
      <c r="J488" s="51"/>
      <c r="K488" s="29"/>
      <c r="L488" s="29"/>
      <c r="M488" s="29"/>
      <c r="N488" s="29"/>
      <c r="O488" s="52"/>
      <c r="P488" s="52"/>
      <c r="Q488" s="52"/>
      <c r="R488" s="53"/>
      <c r="S488" s="52"/>
      <c r="T488" s="52"/>
      <c r="U488" s="29"/>
      <c r="V488" s="54"/>
      <c r="W488" s="54"/>
    </row>
    <row r="489" ht="15.75" customHeight="1">
      <c r="A489" s="29"/>
      <c r="B489" s="16"/>
      <c r="C489" s="29"/>
      <c r="D489" s="29"/>
      <c r="E489" s="29"/>
      <c r="F489" s="29"/>
      <c r="G489" s="29"/>
      <c r="H489" s="41"/>
      <c r="I489" s="41"/>
      <c r="J489" s="51"/>
      <c r="K489" s="29"/>
      <c r="L489" s="29"/>
      <c r="M489" s="29"/>
      <c r="N489" s="29"/>
      <c r="O489" s="52"/>
      <c r="P489" s="52"/>
      <c r="Q489" s="52"/>
      <c r="R489" s="53"/>
      <c r="S489" s="52"/>
      <c r="T489" s="52"/>
      <c r="U489" s="29"/>
      <c r="V489" s="54"/>
      <c r="W489" s="54"/>
    </row>
    <row r="490" ht="15.75" customHeight="1">
      <c r="A490" s="29"/>
      <c r="B490" s="16"/>
      <c r="C490" s="29"/>
      <c r="D490" s="29"/>
      <c r="E490" s="29"/>
      <c r="F490" s="29"/>
      <c r="G490" s="29"/>
      <c r="H490" s="41"/>
      <c r="I490" s="41"/>
      <c r="J490" s="51"/>
      <c r="K490" s="29"/>
      <c r="L490" s="29"/>
      <c r="M490" s="29"/>
      <c r="N490" s="29"/>
      <c r="O490" s="52"/>
      <c r="P490" s="52"/>
      <c r="Q490" s="52"/>
      <c r="R490" s="53"/>
      <c r="S490" s="52"/>
      <c r="T490" s="52"/>
      <c r="U490" s="29"/>
      <c r="V490" s="54"/>
      <c r="W490" s="54"/>
    </row>
    <row r="491" ht="15.75" customHeight="1">
      <c r="A491" s="29"/>
      <c r="B491" s="16"/>
      <c r="C491" s="29"/>
      <c r="D491" s="29"/>
      <c r="E491" s="29"/>
      <c r="F491" s="29"/>
      <c r="G491" s="29"/>
      <c r="H491" s="41"/>
      <c r="I491" s="41"/>
      <c r="J491" s="51"/>
      <c r="K491" s="29"/>
      <c r="L491" s="29"/>
      <c r="M491" s="29"/>
      <c r="N491" s="29"/>
      <c r="O491" s="52"/>
      <c r="P491" s="52"/>
      <c r="Q491" s="52"/>
      <c r="R491" s="53"/>
      <c r="S491" s="52"/>
      <c r="T491" s="52"/>
      <c r="U491" s="29"/>
      <c r="V491" s="54"/>
      <c r="W491" s="54"/>
    </row>
    <row r="492" ht="15.75" customHeight="1">
      <c r="A492" s="29"/>
      <c r="B492" s="16"/>
      <c r="C492" s="29"/>
      <c r="D492" s="29"/>
      <c r="E492" s="29"/>
      <c r="F492" s="29"/>
      <c r="G492" s="29"/>
      <c r="H492" s="41"/>
      <c r="I492" s="41"/>
      <c r="J492" s="51"/>
      <c r="K492" s="29"/>
      <c r="L492" s="29"/>
      <c r="M492" s="29"/>
      <c r="N492" s="29"/>
      <c r="O492" s="52"/>
      <c r="P492" s="52"/>
      <c r="Q492" s="52"/>
      <c r="R492" s="53"/>
      <c r="S492" s="52"/>
      <c r="T492" s="52"/>
      <c r="U492" s="29"/>
      <c r="V492" s="54"/>
      <c r="W492" s="54"/>
    </row>
    <row r="493" ht="15.75" customHeight="1">
      <c r="A493" s="29"/>
      <c r="B493" s="16"/>
      <c r="C493" s="29"/>
      <c r="D493" s="29"/>
      <c r="E493" s="29"/>
      <c r="F493" s="29"/>
      <c r="G493" s="29"/>
      <c r="H493" s="41"/>
      <c r="I493" s="41"/>
      <c r="J493" s="51"/>
      <c r="K493" s="29"/>
      <c r="L493" s="29"/>
      <c r="M493" s="29"/>
      <c r="N493" s="29"/>
      <c r="O493" s="52"/>
      <c r="P493" s="52"/>
      <c r="Q493" s="52"/>
      <c r="R493" s="53"/>
      <c r="S493" s="52"/>
      <c r="T493" s="52"/>
      <c r="U493" s="29"/>
      <c r="V493" s="54"/>
      <c r="W493" s="54"/>
    </row>
    <row r="494" ht="15.75" customHeight="1">
      <c r="A494" s="29"/>
      <c r="B494" s="16"/>
      <c r="C494" s="29"/>
      <c r="D494" s="29"/>
      <c r="E494" s="29"/>
      <c r="F494" s="29"/>
      <c r="G494" s="29"/>
      <c r="H494" s="41"/>
      <c r="I494" s="41"/>
      <c r="J494" s="51"/>
      <c r="K494" s="29"/>
      <c r="L494" s="29"/>
      <c r="M494" s="29"/>
      <c r="N494" s="29"/>
      <c r="O494" s="52"/>
      <c r="P494" s="52"/>
      <c r="Q494" s="52"/>
      <c r="R494" s="53"/>
      <c r="S494" s="52"/>
      <c r="T494" s="52"/>
      <c r="U494" s="29"/>
      <c r="V494" s="54"/>
      <c r="W494" s="54"/>
    </row>
    <row r="495" ht="15.75" customHeight="1">
      <c r="A495" s="29"/>
      <c r="B495" s="16"/>
      <c r="C495" s="29"/>
      <c r="D495" s="29"/>
      <c r="E495" s="29"/>
      <c r="F495" s="29"/>
      <c r="G495" s="29"/>
      <c r="H495" s="41"/>
      <c r="I495" s="41"/>
      <c r="J495" s="51"/>
      <c r="K495" s="29"/>
      <c r="L495" s="29"/>
      <c r="M495" s="29"/>
      <c r="N495" s="29"/>
      <c r="O495" s="52"/>
      <c r="P495" s="52"/>
      <c r="Q495" s="52"/>
      <c r="R495" s="53"/>
      <c r="S495" s="52"/>
      <c r="T495" s="52"/>
      <c r="U495" s="29"/>
      <c r="V495" s="54"/>
      <c r="W495" s="54"/>
    </row>
    <row r="496" ht="15.75" customHeight="1">
      <c r="A496" s="29"/>
      <c r="B496" s="16"/>
      <c r="C496" s="29"/>
      <c r="D496" s="29"/>
      <c r="E496" s="29"/>
      <c r="F496" s="29"/>
      <c r="G496" s="29"/>
      <c r="H496" s="41"/>
      <c r="I496" s="41"/>
      <c r="J496" s="51"/>
      <c r="K496" s="29"/>
      <c r="L496" s="29"/>
      <c r="M496" s="29"/>
      <c r="N496" s="29"/>
      <c r="O496" s="52"/>
      <c r="P496" s="52"/>
      <c r="Q496" s="52"/>
      <c r="R496" s="53"/>
      <c r="S496" s="52"/>
      <c r="T496" s="52"/>
      <c r="U496" s="29"/>
      <c r="V496" s="54"/>
      <c r="W496" s="54"/>
    </row>
    <row r="497" ht="15.75" customHeight="1">
      <c r="A497" s="29"/>
      <c r="B497" s="16"/>
      <c r="C497" s="29"/>
      <c r="D497" s="29"/>
      <c r="E497" s="29"/>
      <c r="F497" s="29"/>
      <c r="G497" s="29"/>
      <c r="H497" s="41"/>
      <c r="I497" s="41"/>
      <c r="J497" s="51"/>
      <c r="K497" s="29"/>
      <c r="L497" s="29"/>
      <c r="M497" s="29"/>
      <c r="N497" s="29"/>
      <c r="O497" s="52"/>
      <c r="P497" s="52"/>
      <c r="Q497" s="52"/>
      <c r="R497" s="53"/>
      <c r="S497" s="52"/>
      <c r="T497" s="52"/>
      <c r="U497" s="29"/>
      <c r="V497" s="54"/>
      <c r="W497" s="54"/>
    </row>
    <row r="498" ht="15.75" customHeight="1">
      <c r="A498" s="29"/>
      <c r="B498" s="16"/>
      <c r="C498" s="29"/>
      <c r="D498" s="29"/>
      <c r="E498" s="29"/>
      <c r="F498" s="29"/>
      <c r="G498" s="29"/>
      <c r="H498" s="41"/>
      <c r="I498" s="41"/>
      <c r="J498" s="51"/>
      <c r="K498" s="29"/>
      <c r="L498" s="29"/>
      <c r="M498" s="29"/>
      <c r="N498" s="29"/>
      <c r="O498" s="52"/>
      <c r="P498" s="52"/>
      <c r="Q498" s="52"/>
      <c r="R498" s="53"/>
      <c r="S498" s="52"/>
      <c r="T498" s="52"/>
      <c r="U498" s="29"/>
      <c r="V498" s="54"/>
      <c r="W498" s="54"/>
    </row>
    <row r="499" ht="15.75" customHeight="1">
      <c r="A499" s="29"/>
      <c r="B499" s="16"/>
      <c r="C499" s="29"/>
      <c r="D499" s="29"/>
      <c r="E499" s="29"/>
      <c r="F499" s="29"/>
      <c r="G499" s="29"/>
      <c r="H499" s="41"/>
      <c r="I499" s="41"/>
      <c r="J499" s="51"/>
      <c r="K499" s="29"/>
      <c r="L499" s="29"/>
      <c r="M499" s="29"/>
      <c r="N499" s="29"/>
      <c r="O499" s="52"/>
      <c r="P499" s="52"/>
      <c r="Q499" s="52"/>
      <c r="R499" s="53"/>
      <c r="S499" s="52"/>
      <c r="T499" s="52"/>
      <c r="U499" s="29"/>
      <c r="V499" s="54"/>
      <c r="W499" s="54"/>
    </row>
    <row r="500" ht="15.75" customHeight="1">
      <c r="A500" s="29"/>
      <c r="B500" s="16"/>
      <c r="C500" s="29"/>
      <c r="D500" s="29"/>
      <c r="E500" s="29"/>
      <c r="F500" s="29"/>
      <c r="G500" s="29"/>
      <c r="H500" s="41"/>
      <c r="I500" s="41"/>
      <c r="J500" s="51"/>
      <c r="K500" s="29"/>
      <c r="L500" s="29"/>
      <c r="M500" s="29"/>
      <c r="N500" s="29"/>
      <c r="O500" s="52"/>
      <c r="P500" s="52"/>
      <c r="Q500" s="52"/>
      <c r="R500" s="53"/>
      <c r="S500" s="52"/>
      <c r="T500" s="52"/>
      <c r="U500" s="29"/>
      <c r="V500" s="54"/>
      <c r="W500" s="54"/>
    </row>
    <row r="501" ht="15.75" customHeight="1">
      <c r="A501" s="29"/>
      <c r="B501" s="16"/>
      <c r="C501" s="29"/>
      <c r="D501" s="29"/>
      <c r="E501" s="29"/>
      <c r="F501" s="29"/>
      <c r="G501" s="29"/>
      <c r="H501" s="41"/>
      <c r="I501" s="41"/>
      <c r="J501" s="51"/>
      <c r="K501" s="29"/>
      <c r="L501" s="29"/>
      <c r="M501" s="29"/>
      <c r="N501" s="29"/>
      <c r="O501" s="52"/>
      <c r="P501" s="52"/>
      <c r="Q501" s="52"/>
      <c r="R501" s="53"/>
      <c r="S501" s="52"/>
      <c r="T501" s="52"/>
      <c r="U501" s="29"/>
      <c r="V501" s="54"/>
      <c r="W501" s="54"/>
    </row>
    <row r="502" ht="15.75" customHeight="1">
      <c r="A502" s="29"/>
      <c r="B502" s="16"/>
      <c r="C502" s="29"/>
      <c r="D502" s="29"/>
      <c r="E502" s="29"/>
      <c r="F502" s="29"/>
      <c r="G502" s="29"/>
      <c r="H502" s="41"/>
      <c r="I502" s="41"/>
      <c r="J502" s="51"/>
      <c r="K502" s="29"/>
      <c r="L502" s="29"/>
      <c r="M502" s="29"/>
      <c r="N502" s="29"/>
      <c r="O502" s="52"/>
      <c r="P502" s="52"/>
      <c r="Q502" s="52"/>
      <c r="R502" s="53"/>
      <c r="S502" s="52"/>
      <c r="T502" s="52"/>
      <c r="U502" s="29"/>
      <c r="V502" s="54"/>
      <c r="W502" s="54"/>
    </row>
    <row r="503" ht="15.75" customHeight="1">
      <c r="A503" s="29"/>
      <c r="B503" s="16"/>
      <c r="C503" s="29"/>
      <c r="D503" s="29"/>
      <c r="E503" s="29"/>
      <c r="F503" s="29"/>
      <c r="G503" s="29"/>
      <c r="H503" s="41"/>
      <c r="I503" s="41"/>
      <c r="J503" s="51"/>
      <c r="K503" s="29"/>
      <c r="L503" s="29"/>
      <c r="M503" s="29"/>
      <c r="N503" s="29"/>
      <c r="O503" s="52"/>
      <c r="P503" s="52"/>
      <c r="Q503" s="52"/>
      <c r="R503" s="53"/>
      <c r="S503" s="52"/>
      <c r="T503" s="52"/>
      <c r="U503" s="29"/>
      <c r="V503" s="54"/>
      <c r="W503" s="54"/>
    </row>
    <row r="504" ht="15.75" customHeight="1">
      <c r="A504" s="29"/>
      <c r="B504" s="16"/>
      <c r="C504" s="29"/>
      <c r="D504" s="29"/>
      <c r="E504" s="29"/>
      <c r="F504" s="29"/>
      <c r="G504" s="29"/>
      <c r="H504" s="41"/>
      <c r="I504" s="41"/>
      <c r="J504" s="51"/>
      <c r="K504" s="29"/>
      <c r="L504" s="29"/>
      <c r="M504" s="29"/>
      <c r="N504" s="29"/>
      <c r="O504" s="52"/>
      <c r="P504" s="52"/>
      <c r="Q504" s="52"/>
      <c r="R504" s="53"/>
      <c r="S504" s="52"/>
      <c r="T504" s="52"/>
      <c r="U504" s="29"/>
      <c r="V504" s="54"/>
      <c r="W504" s="54"/>
    </row>
    <row r="505" ht="15.75" customHeight="1">
      <c r="A505" s="29"/>
      <c r="B505" s="16"/>
      <c r="C505" s="29"/>
      <c r="D505" s="29"/>
      <c r="E505" s="29"/>
      <c r="F505" s="29"/>
      <c r="G505" s="29"/>
      <c r="H505" s="41"/>
      <c r="I505" s="41"/>
      <c r="J505" s="51"/>
      <c r="K505" s="29"/>
      <c r="L505" s="29"/>
      <c r="M505" s="29"/>
      <c r="N505" s="29"/>
      <c r="O505" s="52"/>
      <c r="P505" s="52"/>
      <c r="Q505" s="52"/>
      <c r="R505" s="53"/>
      <c r="S505" s="52"/>
      <c r="T505" s="52"/>
      <c r="U505" s="29"/>
      <c r="V505" s="54"/>
      <c r="W505" s="54"/>
    </row>
    <row r="506" ht="15.75" customHeight="1">
      <c r="A506" s="29"/>
      <c r="B506" s="16"/>
      <c r="C506" s="29"/>
      <c r="D506" s="29"/>
      <c r="E506" s="29"/>
      <c r="F506" s="29"/>
      <c r="G506" s="29"/>
      <c r="H506" s="41"/>
      <c r="I506" s="41"/>
      <c r="J506" s="51"/>
      <c r="K506" s="29"/>
      <c r="L506" s="29"/>
      <c r="M506" s="29"/>
      <c r="N506" s="29"/>
      <c r="O506" s="52"/>
      <c r="P506" s="52"/>
      <c r="Q506" s="52"/>
      <c r="R506" s="53"/>
      <c r="S506" s="52"/>
      <c r="T506" s="52"/>
      <c r="U506" s="29"/>
      <c r="V506" s="54"/>
      <c r="W506" s="54"/>
    </row>
    <row r="507" ht="15.75" customHeight="1">
      <c r="A507" s="29"/>
      <c r="B507" s="16"/>
      <c r="C507" s="29"/>
      <c r="D507" s="29"/>
      <c r="E507" s="29"/>
      <c r="F507" s="29"/>
      <c r="G507" s="29"/>
      <c r="H507" s="41"/>
      <c r="I507" s="41"/>
      <c r="J507" s="51"/>
      <c r="K507" s="29"/>
      <c r="L507" s="29"/>
      <c r="M507" s="29"/>
      <c r="N507" s="29"/>
      <c r="O507" s="52"/>
      <c r="P507" s="52"/>
      <c r="Q507" s="52"/>
      <c r="R507" s="53"/>
      <c r="S507" s="52"/>
      <c r="T507" s="52"/>
      <c r="U507" s="29"/>
      <c r="V507" s="54"/>
      <c r="W507" s="54"/>
    </row>
    <row r="508" ht="15.75" customHeight="1">
      <c r="A508" s="29"/>
      <c r="B508" s="16"/>
      <c r="C508" s="29"/>
      <c r="D508" s="29"/>
      <c r="E508" s="29"/>
      <c r="F508" s="29"/>
      <c r="G508" s="29"/>
      <c r="H508" s="41"/>
      <c r="I508" s="41"/>
      <c r="J508" s="51"/>
      <c r="K508" s="29"/>
      <c r="L508" s="29"/>
      <c r="M508" s="29"/>
      <c r="N508" s="29"/>
      <c r="O508" s="52"/>
      <c r="P508" s="52"/>
      <c r="Q508" s="52"/>
      <c r="R508" s="53"/>
      <c r="S508" s="52"/>
      <c r="T508" s="52"/>
      <c r="U508" s="29"/>
      <c r="V508" s="54"/>
      <c r="W508" s="54"/>
    </row>
    <row r="509" ht="15.75" customHeight="1">
      <c r="A509" s="29"/>
      <c r="B509" s="16"/>
      <c r="C509" s="29"/>
      <c r="D509" s="29"/>
      <c r="E509" s="29"/>
      <c r="F509" s="29"/>
      <c r="G509" s="29"/>
      <c r="H509" s="41"/>
      <c r="I509" s="41"/>
      <c r="J509" s="51"/>
      <c r="K509" s="29"/>
      <c r="L509" s="29"/>
      <c r="M509" s="29"/>
      <c r="N509" s="29"/>
      <c r="O509" s="52"/>
      <c r="P509" s="52"/>
      <c r="Q509" s="52"/>
      <c r="R509" s="53"/>
      <c r="S509" s="52"/>
      <c r="T509" s="52"/>
      <c r="U509" s="29"/>
      <c r="V509" s="54"/>
      <c r="W509" s="54"/>
    </row>
    <row r="510" ht="15.75" customHeight="1">
      <c r="A510" s="29"/>
      <c r="B510" s="16"/>
      <c r="C510" s="29"/>
      <c r="D510" s="29"/>
      <c r="E510" s="29"/>
      <c r="F510" s="29"/>
      <c r="G510" s="29"/>
      <c r="H510" s="41"/>
      <c r="I510" s="41"/>
      <c r="J510" s="51"/>
      <c r="K510" s="29"/>
      <c r="L510" s="29"/>
      <c r="M510" s="29"/>
      <c r="N510" s="29"/>
      <c r="O510" s="52"/>
      <c r="P510" s="52"/>
      <c r="Q510" s="52"/>
      <c r="R510" s="53"/>
      <c r="S510" s="52"/>
      <c r="T510" s="52"/>
      <c r="U510" s="29"/>
      <c r="V510" s="54"/>
      <c r="W510" s="54"/>
    </row>
    <row r="511" ht="15.75" customHeight="1">
      <c r="A511" s="29"/>
      <c r="B511" s="16"/>
      <c r="C511" s="29"/>
      <c r="D511" s="29"/>
      <c r="E511" s="29"/>
      <c r="F511" s="29"/>
      <c r="G511" s="29"/>
      <c r="H511" s="41"/>
      <c r="I511" s="41"/>
      <c r="J511" s="51"/>
      <c r="K511" s="29"/>
      <c r="L511" s="29"/>
      <c r="M511" s="29"/>
      <c r="N511" s="29"/>
      <c r="O511" s="52"/>
      <c r="P511" s="52"/>
      <c r="Q511" s="52"/>
      <c r="R511" s="53"/>
      <c r="S511" s="52"/>
      <c r="T511" s="52"/>
      <c r="U511" s="29"/>
      <c r="V511" s="54"/>
      <c r="W511" s="54"/>
    </row>
    <row r="512" ht="15.75" customHeight="1">
      <c r="A512" s="29"/>
      <c r="B512" s="16"/>
      <c r="C512" s="29"/>
      <c r="D512" s="29"/>
      <c r="E512" s="29"/>
      <c r="F512" s="29"/>
      <c r="G512" s="29"/>
      <c r="H512" s="41"/>
      <c r="I512" s="41"/>
      <c r="J512" s="51"/>
      <c r="K512" s="29"/>
      <c r="L512" s="29"/>
      <c r="M512" s="29"/>
      <c r="N512" s="29"/>
      <c r="O512" s="52"/>
      <c r="P512" s="52"/>
      <c r="Q512" s="52"/>
      <c r="R512" s="53"/>
      <c r="S512" s="52"/>
      <c r="T512" s="52"/>
      <c r="U512" s="29"/>
      <c r="V512" s="54"/>
      <c r="W512" s="54"/>
    </row>
    <row r="513" ht="15.75" customHeight="1">
      <c r="A513" s="29"/>
      <c r="B513" s="16"/>
      <c r="C513" s="29"/>
      <c r="D513" s="29"/>
      <c r="E513" s="29"/>
      <c r="F513" s="29"/>
      <c r="G513" s="29"/>
      <c r="H513" s="41"/>
      <c r="I513" s="41"/>
      <c r="J513" s="51"/>
      <c r="K513" s="29"/>
      <c r="L513" s="29"/>
      <c r="M513" s="29"/>
      <c r="N513" s="29"/>
      <c r="O513" s="52"/>
      <c r="P513" s="52"/>
      <c r="Q513" s="52"/>
      <c r="R513" s="53"/>
      <c r="S513" s="52"/>
      <c r="T513" s="52"/>
      <c r="U513" s="29"/>
      <c r="V513" s="54"/>
      <c r="W513" s="54"/>
    </row>
    <row r="514" ht="15.75" customHeight="1">
      <c r="A514" s="29"/>
      <c r="B514" s="16"/>
      <c r="C514" s="29"/>
      <c r="D514" s="29"/>
      <c r="E514" s="29"/>
      <c r="F514" s="29"/>
      <c r="G514" s="29"/>
      <c r="H514" s="41"/>
      <c r="I514" s="41"/>
      <c r="J514" s="51"/>
      <c r="K514" s="29"/>
      <c r="L514" s="29"/>
      <c r="M514" s="29"/>
      <c r="N514" s="29"/>
      <c r="O514" s="52"/>
      <c r="P514" s="52"/>
      <c r="Q514" s="52"/>
      <c r="R514" s="53"/>
      <c r="S514" s="52"/>
      <c r="T514" s="52"/>
      <c r="U514" s="29"/>
      <c r="V514" s="54"/>
      <c r="W514" s="54"/>
    </row>
    <row r="515" ht="15.75" customHeight="1">
      <c r="A515" s="29"/>
      <c r="B515" s="16"/>
      <c r="C515" s="29"/>
      <c r="D515" s="29"/>
      <c r="E515" s="29"/>
      <c r="F515" s="29"/>
      <c r="G515" s="29"/>
      <c r="H515" s="41"/>
      <c r="I515" s="41"/>
      <c r="J515" s="51"/>
      <c r="K515" s="29"/>
      <c r="L515" s="29"/>
      <c r="M515" s="29"/>
      <c r="N515" s="29"/>
      <c r="O515" s="52"/>
      <c r="P515" s="52"/>
      <c r="Q515" s="52"/>
      <c r="R515" s="53"/>
      <c r="S515" s="52"/>
      <c r="T515" s="52"/>
      <c r="U515" s="29"/>
      <c r="V515" s="54"/>
      <c r="W515" s="54"/>
    </row>
    <row r="516" ht="15.75" customHeight="1">
      <c r="A516" s="29"/>
      <c r="B516" s="16"/>
      <c r="C516" s="29"/>
      <c r="D516" s="29"/>
      <c r="E516" s="29"/>
      <c r="F516" s="29"/>
      <c r="G516" s="29"/>
      <c r="H516" s="41"/>
      <c r="I516" s="41"/>
      <c r="J516" s="51"/>
      <c r="K516" s="29"/>
      <c r="L516" s="29"/>
      <c r="M516" s="29"/>
      <c r="N516" s="29"/>
      <c r="O516" s="52"/>
      <c r="P516" s="52"/>
      <c r="Q516" s="52"/>
      <c r="R516" s="53"/>
      <c r="S516" s="52"/>
      <c r="T516" s="52"/>
      <c r="U516" s="29"/>
      <c r="V516" s="54"/>
      <c r="W516" s="54"/>
    </row>
    <row r="517" ht="15.75" customHeight="1">
      <c r="A517" s="29"/>
      <c r="B517" s="16"/>
      <c r="C517" s="29"/>
      <c r="D517" s="29"/>
      <c r="E517" s="29"/>
      <c r="F517" s="29"/>
      <c r="G517" s="29"/>
      <c r="H517" s="41"/>
      <c r="I517" s="41"/>
      <c r="J517" s="51"/>
      <c r="K517" s="29"/>
      <c r="L517" s="29"/>
      <c r="M517" s="29"/>
      <c r="N517" s="29"/>
      <c r="O517" s="52"/>
      <c r="P517" s="52"/>
      <c r="Q517" s="52"/>
      <c r="R517" s="53"/>
      <c r="S517" s="52"/>
      <c r="T517" s="52"/>
      <c r="U517" s="29"/>
      <c r="V517" s="54"/>
      <c r="W517" s="54"/>
    </row>
    <row r="518" ht="15.75" customHeight="1">
      <c r="A518" s="29"/>
      <c r="B518" s="16"/>
      <c r="C518" s="29"/>
      <c r="D518" s="29"/>
      <c r="E518" s="29"/>
      <c r="F518" s="29"/>
      <c r="G518" s="29"/>
      <c r="H518" s="41"/>
      <c r="I518" s="41"/>
      <c r="J518" s="51"/>
      <c r="K518" s="29"/>
      <c r="L518" s="29"/>
      <c r="M518" s="29"/>
      <c r="N518" s="29"/>
      <c r="O518" s="52"/>
      <c r="P518" s="52"/>
      <c r="Q518" s="52"/>
      <c r="R518" s="53"/>
      <c r="S518" s="52"/>
      <c r="T518" s="52"/>
      <c r="U518" s="29"/>
      <c r="V518" s="54"/>
      <c r="W518" s="54"/>
    </row>
    <row r="519" ht="15.75" customHeight="1">
      <c r="A519" s="29"/>
      <c r="B519" s="16"/>
      <c r="C519" s="29"/>
      <c r="D519" s="29"/>
      <c r="E519" s="29"/>
      <c r="F519" s="29"/>
      <c r="G519" s="29"/>
      <c r="H519" s="41"/>
      <c r="I519" s="41"/>
      <c r="J519" s="51"/>
      <c r="K519" s="29"/>
      <c r="L519" s="29"/>
      <c r="M519" s="29"/>
      <c r="N519" s="29"/>
      <c r="O519" s="52"/>
      <c r="P519" s="52"/>
      <c r="Q519" s="52"/>
      <c r="R519" s="53"/>
      <c r="S519" s="52"/>
      <c r="T519" s="52"/>
      <c r="U519" s="29"/>
      <c r="V519" s="54"/>
      <c r="W519" s="54"/>
    </row>
    <row r="520" ht="15.75" customHeight="1">
      <c r="A520" s="29"/>
      <c r="B520" s="16"/>
      <c r="C520" s="29"/>
      <c r="D520" s="29"/>
      <c r="E520" s="29"/>
      <c r="F520" s="29"/>
      <c r="G520" s="29"/>
      <c r="H520" s="41"/>
      <c r="I520" s="41"/>
      <c r="J520" s="51"/>
      <c r="K520" s="29"/>
      <c r="L520" s="29"/>
      <c r="M520" s="29"/>
      <c r="N520" s="29"/>
      <c r="O520" s="52"/>
      <c r="P520" s="52"/>
      <c r="Q520" s="52"/>
      <c r="R520" s="53"/>
      <c r="S520" s="52"/>
      <c r="T520" s="52"/>
      <c r="U520" s="29"/>
      <c r="V520" s="54"/>
      <c r="W520" s="54"/>
    </row>
    <row r="521" ht="15.75" customHeight="1">
      <c r="A521" s="29"/>
      <c r="B521" s="16"/>
      <c r="C521" s="29"/>
      <c r="D521" s="29"/>
      <c r="E521" s="29"/>
      <c r="F521" s="29"/>
      <c r="G521" s="29"/>
      <c r="H521" s="41"/>
      <c r="I521" s="41"/>
      <c r="J521" s="51"/>
      <c r="K521" s="29"/>
      <c r="L521" s="29"/>
      <c r="M521" s="29"/>
      <c r="N521" s="29"/>
      <c r="O521" s="52"/>
      <c r="P521" s="52"/>
      <c r="Q521" s="52"/>
      <c r="R521" s="53"/>
      <c r="S521" s="52"/>
      <c r="T521" s="52"/>
      <c r="U521" s="29"/>
      <c r="V521" s="54"/>
      <c r="W521" s="54"/>
    </row>
    <row r="522" ht="15.75" customHeight="1">
      <c r="A522" s="29"/>
      <c r="B522" s="16"/>
      <c r="C522" s="29"/>
      <c r="D522" s="29"/>
      <c r="E522" s="29"/>
      <c r="F522" s="29"/>
      <c r="G522" s="29"/>
      <c r="H522" s="41"/>
      <c r="I522" s="41"/>
      <c r="J522" s="51"/>
      <c r="K522" s="29"/>
      <c r="L522" s="29"/>
      <c r="M522" s="29"/>
      <c r="N522" s="29"/>
      <c r="O522" s="52"/>
      <c r="P522" s="52"/>
      <c r="Q522" s="52"/>
      <c r="R522" s="53"/>
      <c r="S522" s="52"/>
      <c r="T522" s="52"/>
      <c r="U522" s="29"/>
      <c r="V522" s="54"/>
      <c r="W522" s="54"/>
    </row>
    <row r="523" ht="15.75" customHeight="1">
      <c r="A523" s="29"/>
      <c r="B523" s="16"/>
      <c r="C523" s="29"/>
      <c r="D523" s="29"/>
      <c r="E523" s="29"/>
      <c r="F523" s="29"/>
      <c r="G523" s="29"/>
      <c r="H523" s="41"/>
      <c r="I523" s="41"/>
      <c r="J523" s="51"/>
      <c r="K523" s="29"/>
      <c r="L523" s="29"/>
      <c r="M523" s="29"/>
      <c r="N523" s="29"/>
      <c r="O523" s="52"/>
      <c r="P523" s="52"/>
      <c r="Q523" s="52"/>
      <c r="R523" s="53"/>
      <c r="S523" s="52"/>
      <c r="T523" s="52"/>
      <c r="U523" s="29"/>
      <c r="V523" s="54"/>
      <c r="W523" s="54"/>
    </row>
    <row r="524" ht="15.75" customHeight="1">
      <c r="A524" s="29"/>
      <c r="B524" s="16"/>
      <c r="C524" s="29"/>
      <c r="D524" s="29"/>
      <c r="E524" s="29"/>
      <c r="F524" s="29"/>
      <c r="G524" s="29"/>
      <c r="H524" s="41"/>
      <c r="I524" s="41"/>
      <c r="J524" s="51"/>
      <c r="K524" s="29"/>
      <c r="L524" s="29"/>
      <c r="M524" s="29"/>
      <c r="N524" s="29"/>
      <c r="O524" s="52"/>
      <c r="P524" s="52"/>
      <c r="Q524" s="52"/>
      <c r="R524" s="53"/>
      <c r="S524" s="52"/>
      <c r="T524" s="52"/>
      <c r="U524" s="29"/>
      <c r="V524" s="54"/>
      <c r="W524" s="54"/>
    </row>
    <row r="525" ht="15.75" customHeight="1">
      <c r="A525" s="29"/>
      <c r="B525" s="16"/>
      <c r="C525" s="29"/>
      <c r="D525" s="29"/>
      <c r="E525" s="29"/>
      <c r="F525" s="29"/>
      <c r="G525" s="29"/>
      <c r="H525" s="41"/>
      <c r="I525" s="41"/>
      <c r="J525" s="51"/>
      <c r="K525" s="29"/>
      <c r="L525" s="29"/>
      <c r="M525" s="29"/>
      <c r="N525" s="29"/>
      <c r="O525" s="52"/>
      <c r="P525" s="52"/>
      <c r="Q525" s="52"/>
      <c r="R525" s="53"/>
      <c r="S525" s="52"/>
      <c r="T525" s="52"/>
      <c r="U525" s="29"/>
      <c r="V525" s="54"/>
      <c r="W525" s="54"/>
    </row>
    <row r="526" ht="15.75" customHeight="1">
      <c r="A526" s="29"/>
      <c r="B526" s="16"/>
      <c r="C526" s="29"/>
      <c r="D526" s="29"/>
      <c r="E526" s="29"/>
      <c r="F526" s="29"/>
      <c r="G526" s="29"/>
      <c r="H526" s="41"/>
      <c r="I526" s="41"/>
      <c r="J526" s="51"/>
      <c r="K526" s="29"/>
      <c r="L526" s="29"/>
      <c r="M526" s="29"/>
      <c r="N526" s="29"/>
      <c r="O526" s="52"/>
      <c r="P526" s="52"/>
      <c r="Q526" s="52"/>
      <c r="R526" s="53"/>
      <c r="S526" s="52"/>
      <c r="T526" s="52"/>
      <c r="U526" s="29"/>
      <c r="V526" s="54"/>
      <c r="W526" s="54"/>
    </row>
    <row r="527" ht="15.75" customHeight="1">
      <c r="A527" s="29"/>
      <c r="B527" s="16"/>
      <c r="C527" s="29"/>
      <c r="D527" s="29"/>
      <c r="E527" s="29"/>
      <c r="F527" s="29"/>
      <c r="G527" s="29"/>
      <c r="H527" s="41"/>
      <c r="I527" s="41"/>
      <c r="J527" s="51"/>
      <c r="K527" s="29"/>
      <c r="L527" s="29"/>
      <c r="M527" s="29"/>
      <c r="N527" s="29"/>
      <c r="O527" s="52"/>
      <c r="P527" s="52"/>
      <c r="Q527" s="52"/>
      <c r="R527" s="53"/>
      <c r="S527" s="52"/>
      <c r="T527" s="52"/>
      <c r="U527" s="29"/>
      <c r="V527" s="54"/>
      <c r="W527" s="54"/>
    </row>
    <row r="528" ht="15.75" customHeight="1">
      <c r="A528" s="29"/>
      <c r="B528" s="16"/>
      <c r="C528" s="29"/>
      <c r="D528" s="29"/>
      <c r="E528" s="29"/>
      <c r="F528" s="29"/>
      <c r="G528" s="29"/>
      <c r="H528" s="41"/>
      <c r="I528" s="41"/>
      <c r="J528" s="51"/>
      <c r="K528" s="29"/>
      <c r="L528" s="29"/>
      <c r="M528" s="29"/>
      <c r="N528" s="29"/>
      <c r="O528" s="52"/>
      <c r="P528" s="52"/>
      <c r="Q528" s="52"/>
      <c r="R528" s="53"/>
      <c r="S528" s="52"/>
      <c r="T528" s="52"/>
      <c r="U528" s="29"/>
      <c r="V528" s="54"/>
      <c r="W528" s="54"/>
    </row>
    <row r="529" ht="15.75" customHeight="1">
      <c r="A529" s="29"/>
      <c r="B529" s="16"/>
      <c r="C529" s="29"/>
      <c r="D529" s="29"/>
      <c r="E529" s="29"/>
      <c r="F529" s="29"/>
      <c r="G529" s="29"/>
      <c r="H529" s="41"/>
      <c r="I529" s="41"/>
      <c r="J529" s="51"/>
      <c r="K529" s="29"/>
      <c r="L529" s="29"/>
      <c r="M529" s="29"/>
      <c r="N529" s="29"/>
      <c r="O529" s="52"/>
      <c r="P529" s="52"/>
      <c r="Q529" s="52"/>
      <c r="R529" s="53"/>
      <c r="S529" s="52"/>
      <c r="T529" s="52"/>
      <c r="U529" s="29"/>
      <c r="V529" s="54"/>
      <c r="W529" s="54"/>
    </row>
    <row r="530" ht="15.75" customHeight="1">
      <c r="A530" s="29"/>
      <c r="B530" s="16"/>
      <c r="C530" s="29"/>
      <c r="D530" s="29"/>
      <c r="E530" s="29"/>
      <c r="F530" s="29"/>
      <c r="G530" s="29"/>
      <c r="H530" s="41"/>
      <c r="I530" s="41"/>
      <c r="J530" s="51"/>
      <c r="K530" s="29"/>
      <c r="L530" s="29"/>
      <c r="M530" s="29"/>
      <c r="N530" s="29"/>
      <c r="O530" s="52"/>
      <c r="P530" s="52"/>
      <c r="Q530" s="52"/>
      <c r="R530" s="53"/>
      <c r="S530" s="52"/>
      <c r="T530" s="52"/>
      <c r="U530" s="29"/>
      <c r="V530" s="54"/>
      <c r="W530" s="54"/>
    </row>
    <row r="531" ht="15.75" customHeight="1">
      <c r="A531" s="29"/>
      <c r="B531" s="16"/>
      <c r="C531" s="29"/>
      <c r="D531" s="29"/>
      <c r="E531" s="29"/>
      <c r="F531" s="29"/>
      <c r="G531" s="29"/>
      <c r="H531" s="41"/>
      <c r="I531" s="41"/>
      <c r="J531" s="51"/>
      <c r="K531" s="29"/>
      <c r="L531" s="29"/>
      <c r="M531" s="29"/>
      <c r="N531" s="29"/>
      <c r="O531" s="52"/>
      <c r="P531" s="52"/>
      <c r="Q531" s="52"/>
      <c r="R531" s="53"/>
      <c r="S531" s="52"/>
      <c r="T531" s="52"/>
      <c r="U531" s="29"/>
      <c r="V531" s="54"/>
      <c r="W531" s="54"/>
    </row>
    <row r="532" ht="15.75" customHeight="1">
      <c r="A532" s="29"/>
      <c r="B532" s="16"/>
      <c r="C532" s="29"/>
      <c r="D532" s="29"/>
      <c r="E532" s="29"/>
      <c r="F532" s="29"/>
      <c r="G532" s="29"/>
      <c r="H532" s="41"/>
      <c r="I532" s="41"/>
      <c r="J532" s="51"/>
      <c r="K532" s="29"/>
      <c r="L532" s="29"/>
      <c r="M532" s="29"/>
      <c r="N532" s="29"/>
      <c r="O532" s="52"/>
      <c r="P532" s="52"/>
      <c r="Q532" s="52"/>
      <c r="R532" s="53"/>
      <c r="S532" s="52"/>
      <c r="T532" s="52"/>
      <c r="U532" s="29"/>
      <c r="V532" s="54"/>
      <c r="W532" s="54"/>
    </row>
    <row r="533" ht="15.75" customHeight="1">
      <c r="A533" s="29"/>
      <c r="B533" s="16"/>
      <c r="C533" s="29"/>
      <c r="D533" s="29"/>
      <c r="E533" s="29"/>
      <c r="F533" s="29"/>
      <c r="G533" s="29"/>
      <c r="H533" s="41"/>
      <c r="I533" s="41"/>
      <c r="J533" s="51"/>
      <c r="K533" s="29"/>
      <c r="L533" s="29"/>
      <c r="M533" s="29"/>
      <c r="N533" s="29"/>
      <c r="O533" s="52"/>
      <c r="P533" s="52"/>
      <c r="Q533" s="52"/>
      <c r="R533" s="53"/>
      <c r="S533" s="52"/>
      <c r="T533" s="52"/>
      <c r="U533" s="29"/>
      <c r="V533" s="54"/>
      <c r="W533" s="54"/>
    </row>
    <row r="534" ht="15.75" customHeight="1">
      <c r="A534" s="29"/>
      <c r="B534" s="16"/>
      <c r="C534" s="29"/>
      <c r="D534" s="29"/>
      <c r="E534" s="29"/>
      <c r="F534" s="29"/>
      <c r="G534" s="29"/>
      <c r="H534" s="41"/>
      <c r="I534" s="41"/>
      <c r="J534" s="51"/>
      <c r="K534" s="29"/>
      <c r="L534" s="29"/>
      <c r="M534" s="29"/>
      <c r="N534" s="29"/>
      <c r="O534" s="52"/>
      <c r="P534" s="52"/>
      <c r="Q534" s="52"/>
      <c r="R534" s="53"/>
      <c r="S534" s="52"/>
      <c r="T534" s="52"/>
      <c r="U534" s="29"/>
      <c r="V534" s="54"/>
      <c r="W534" s="54"/>
    </row>
    <row r="535" ht="15.75" customHeight="1">
      <c r="A535" s="29"/>
      <c r="B535" s="16"/>
      <c r="C535" s="29"/>
      <c r="D535" s="29"/>
      <c r="E535" s="29"/>
      <c r="F535" s="29"/>
      <c r="G535" s="29"/>
      <c r="H535" s="41"/>
      <c r="I535" s="41"/>
      <c r="J535" s="51"/>
      <c r="K535" s="29"/>
      <c r="L535" s="29"/>
      <c r="M535" s="29"/>
      <c r="N535" s="29"/>
      <c r="O535" s="52"/>
      <c r="P535" s="52"/>
      <c r="Q535" s="52"/>
      <c r="R535" s="53"/>
      <c r="S535" s="52"/>
      <c r="T535" s="52"/>
      <c r="U535" s="29"/>
      <c r="V535" s="54"/>
      <c r="W535" s="54"/>
    </row>
    <row r="536" ht="15.75" customHeight="1">
      <c r="A536" s="29"/>
      <c r="B536" s="16"/>
      <c r="C536" s="29"/>
      <c r="D536" s="29"/>
      <c r="E536" s="29"/>
      <c r="F536" s="29"/>
      <c r="G536" s="29"/>
      <c r="H536" s="41"/>
      <c r="I536" s="41"/>
      <c r="J536" s="51"/>
      <c r="K536" s="29"/>
      <c r="L536" s="29"/>
      <c r="M536" s="29"/>
      <c r="N536" s="29"/>
      <c r="O536" s="52"/>
      <c r="P536" s="52"/>
      <c r="Q536" s="52"/>
      <c r="R536" s="53"/>
      <c r="S536" s="52"/>
      <c r="T536" s="52"/>
      <c r="U536" s="29"/>
      <c r="V536" s="54"/>
      <c r="W536" s="54"/>
    </row>
    <row r="537" ht="15.75" customHeight="1">
      <c r="A537" s="29"/>
      <c r="B537" s="16"/>
      <c r="C537" s="29"/>
      <c r="D537" s="29"/>
      <c r="E537" s="29"/>
      <c r="F537" s="29"/>
      <c r="G537" s="29"/>
      <c r="H537" s="41"/>
      <c r="I537" s="41"/>
      <c r="J537" s="51"/>
      <c r="K537" s="29"/>
      <c r="L537" s="29"/>
      <c r="M537" s="29"/>
      <c r="N537" s="29"/>
      <c r="O537" s="52"/>
      <c r="P537" s="52"/>
      <c r="Q537" s="52"/>
      <c r="R537" s="53"/>
      <c r="S537" s="52"/>
      <c r="T537" s="52"/>
      <c r="U537" s="29"/>
      <c r="V537" s="54"/>
      <c r="W537" s="54"/>
    </row>
    <row r="538" ht="15.75" customHeight="1">
      <c r="A538" s="29"/>
      <c r="B538" s="16"/>
      <c r="C538" s="29"/>
      <c r="D538" s="29"/>
      <c r="E538" s="29"/>
      <c r="F538" s="29"/>
      <c r="G538" s="29"/>
      <c r="H538" s="41"/>
      <c r="I538" s="41"/>
      <c r="J538" s="51"/>
      <c r="K538" s="29"/>
      <c r="L538" s="29"/>
      <c r="M538" s="29"/>
      <c r="N538" s="29"/>
      <c r="O538" s="52"/>
      <c r="P538" s="52"/>
      <c r="Q538" s="52"/>
      <c r="R538" s="53"/>
      <c r="S538" s="52"/>
      <c r="T538" s="52"/>
      <c r="U538" s="29"/>
      <c r="V538" s="54"/>
      <c r="W538" s="54"/>
    </row>
    <row r="539" ht="15.75" customHeight="1">
      <c r="A539" s="29"/>
      <c r="B539" s="16"/>
      <c r="C539" s="29"/>
      <c r="D539" s="29"/>
      <c r="E539" s="29"/>
      <c r="F539" s="29"/>
      <c r="G539" s="29"/>
      <c r="H539" s="41"/>
      <c r="I539" s="41"/>
      <c r="J539" s="51"/>
      <c r="K539" s="29"/>
      <c r="L539" s="29"/>
      <c r="M539" s="29"/>
      <c r="N539" s="29"/>
      <c r="O539" s="52"/>
      <c r="P539" s="52"/>
      <c r="Q539" s="52"/>
      <c r="R539" s="53"/>
      <c r="S539" s="52"/>
      <c r="T539" s="52"/>
      <c r="U539" s="29"/>
      <c r="V539" s="54"/>
      <c r="W539" s="54"/>
    </row>
    <row r="540" ht="15.75" customHeight="1">
      <c r="A540" s="29"/>
      <c r="B540" s="16"/>
      <c r="C540" s="29"/>
      <c r="D540" s="29"/>
      <c r="E540" s="29"/>
      <c r="F540" s="29"/>
      <c r="G540" s="29"/>
      <c r="H540" s="41"/>
      <c r="I540" s="41"/>
      <c r="J540" s="51"/>
      <c r="K540" s="29"/>
      <c r="L540" s="29"/>
      <c r="M540" s="29"/>
      <c r="N540" s="29"/>
      <c r="O540" s="52"/>
      <c r="P540" s="52"/>
      <c r="Q540" s="52"/>
      <c r="R540" s="53"/>
      <c r="S540" s="52"/>
      <c r="T540" s="52"/>
      <c r="U540" s="29"/>
      <c r="V540" s="54"/>
      <c r="W540" s="54"/>
    </row>
    <row r="541" ht="15.75" customHeight="1">
      <c r="A541" s="29"/>
      <c r="B541" s="16"/>
      <c r="C541" s="29"/>
      <c r="D541" s="29"/>
      <c r="E541" s="29"/>
      <c r="F541" s="29"/>
      <c r="G541" s="29"/>
      <c r="H541" s="41"/>
      <c r="I541" s="41"/>
      <c r="J541" s="51"/>
      <c r="K541" s="29"/>
      <c r="L541" s="29"/>
      <c r="M541" s="29"/>
      <c r="N541" s="29"/>
      <c r="O541" s="52"/>
      <c r="P541" s="52"/>
      <c r="Q541" s="52"/>
      <c r="R541" s="53"/>
      <c r="S541" s="52"/>
      <c r="T541" s="52"/>
      <c r="U541" s="29"/>
      <c r="V541" s="54"/>
      <c r="W541" s="54"/>
    </row>
    <row r="542" ht="15.75" customHeight="1">
      <c r="A542" s="29"/>
      <c r="B542" s="16"/>
      <c r="C542" s="29"/>
      <c r="D542" s="29"/>
      <c r="E542" s="29"/>
      <c r="F542" s="29"/>
      <c r="G542" s="29"/>
      <c r="H542" s="41"/>
      <c r="I542" s="41"/>
      <c r="J542" s="51"/>
      <c r="K542" s="29"/>
      <c r="L542" s="29"/>
      <c r="M542" s="29"/>
      <c r="N542" s="29"/>
      <c r="O542" s="52"/>
      <c r="P542" s="52"/>
      <c r="Q542" s="52"/>
      <c r="R542" s="53"/>
      <c r="S542" s="52"/>
      <c r="T542" s="52"/>
      <c r="U542" s="29"/>
      <c r="V542" s="54"/>
      <c r="W542" s="54"/>
    </row>
    <row r="543" ht="15.75" customHeight="1">
      <c r="A543" s="29"/>
      <c r="B543" s="16"/>
      <c r="C543" s="29"/>
      <c r="D543" s="29"/>
      <c r="E543" s="29"/>
      <c r="F543" s="29"/>
      <c r="G543" s="29"/>
      <c r="H543" s="41"/>
      <c r="I543" s="41"/>
      <c r="J543" s="51"/>
      <c r="K543" s="29"/>
      <c r="L543" s="29"/>
      <c r="M543" s="29"/>
      <c r="N543" s="29"/>
      <c r="O543" s="52"/>
      <c r="P543" s="52"/>
      <c r="Q543" s="52"/>
      <c r="R543" s="53"/>
      <c r="S543" s="52"/>
      <c r="T543" s="52"/>
      <c r="U543" s="29"/>
      <c r="V543" s="54"/>
      <c r="W543" s="54"/>
    </row>
    <row r="544" ht="15.75" customHeight="1">
      <c r="A544" s="29"/>
      <c r="B544" s="16"/>
      <c r="C544" s="29"/>
      <c r="D544" s="29"/>
      <c r="E544" s="29"/>
      <c r="F544" s="29"/>
      <c r="G544" s="29"/>
      <c r="H544" s="41"/>
      <c r="I544" s="41"/>
      <c r="J544" s="51"/>
      <c r="K544" s="29"/>
      <c r="L544" s="29"/>
      <c r="M544" s="29"/>
      <c r="N544" s="29"/>
      <c r="O544" s="52"/>
      <c r="P544" s="52"/>
      <c r="Q544" s="52"/>
      <c r="R544" s="53"/>
      <c r="S544" s="52"/>
      <c r="T544" s="52"/>
      <c r="U544" s="29"/>
      <c r="V544" s="54"/>
      <c r="W544" s="54"/>
    </row>
    <row r="545" ht="15.75" customHeight="1">
      <c r="A545" s="29"/>
      <c r="B545" s="16"/>
      <c r="C545" s="29"/>
      <c r="D545" s="29"/>
      <c r="E545" s="29"/>
      <c r="F545" s="29"/>
      <c r="G545" s="29"/>
      <c r="H545" s="41"/>
      <c r="I545" s="41"/>
      <c r="J545" s="51"/>
      <c r="K545" s="29"/>
      <c r="L545" s="29"/>
      <c r="M545" s="29"/>
      <c r="N545" s="29"/>
      <c r="O545" s="52"/>
      <c r="P545" s="52"/>
      <c r="Q545" s="52"/>
      <c r="R545" s="53"/>
      <c r="S545" s="52"/>
      <c r="T545" s="52"/>
      <c r="U545" s="29"/>
      <c r="V545" s="54"/>
      <c r="W545" s="54"/>
    </row>
    <row r="546" ht="15.75" customHeight="1">
      <c r="A546" s="29"/>
      <c r="B546" s="16"/>
      <c r="C546" s="29"/>
      <c r="D546" s="29"/>
      <c r="E546" s="29"/>
      <c r="F546" s="29"/>
      <c r="G546" s="29"/>
      <c r="H546" s="41"/>
      <c r="I546" s="41"/>
      <c r="J546" s="51"/>
      <c r="K546" s="29"/>
      <c r="L546" s="29"/>
      <c r="M546" s="29"/>
      <c r="N546" s="29"/>
      <c r="O546" s="52"/>
      <c r="P546" s="52"/>
      <c r="Q546" s="52"/>
      <c r="R546" s="53"/>
      <c r="S546" s="52"/>
      <c r="T546" s="52"/>
      <c r="U546" s="29"/>
      <c r="V546" s="54"/>
      <c r="W546" s="54"/>
    </row>
    <row r="547" ht="15.75" customHeight="1">
      <c r="A547" s="29"/>
      <c r="B547" s="16"/>
      <c r="C547" s="29"/>
      <c r="D547" s="29"/>
      <c r="E547" s="29"/>
      <c r="F547" s="29"/>
      <c r="G547" s="29"/>
      <c r="H547" s="41"/>
      <c r="I547" s="41"/>
      <c r="J547" s="51"/>
      <c r="K547" s="29"/>
      <c r="L547" s="29"/>
      <c r="M547" s="29"/>
      <c r="N547" s="29"/>
      <c r="O547" s="52"/>
      <c r="P547" s="52"/>
      <c r="Q547" s="52"/>
      <c r="R547" s="53"/>
      <c r="S547" s="52"/>
      <c r="T547" s="52"/>
      <c r="U547" s="29"/>
      <c r="V547" s="54"/>
      <c r="W547" s="54"/>
    </row>
    <row r="548" ht="15.75" customHeight="1">
      <c r="A548" s="29"/>
      <c r="B548" s="16"/>
      <c r="C548" s="29"/>
      <c r="D548" s="29"/>
      <c r="E548" s="29"/>
      <c r="F548" s="29"/>
      <c r="G548" s="29"/>
      <c r="H548" s="41"/>
      <c r="I548" s="41"/>
      <c r="J548" s="51"/>
      <c r="K548" s="29"/>
      <c r="L548" s="29"/>
      <c r="M548" s="29"/>
      <c r="N548" s="29"/>
      <c r="O548" s="52"/>
      <c r="P548" s="52"/>
      <c r="Q548" s="52"/>
      <c r="R548" s="53"/>
      <c r="S548" s="52"/>
      <c r="T548" s="52"/>
      <c r="U548" s="29"/>
      <c r="V548" s="54"/>
      <c r="W548" s="54"/>
    </row>
    <row r="549" ht="15.75" customHeight="1">
      <c r="A549" s="29"/>
      <c r="B549" s="16"/>
      <c r="C549" s="29"/>
      <c r="D549" s="29"/>
      <c r="E549" s="29"/>
      <c r="F549" s="29"/>
      <c r="G549" s="29"/>
      <c r="H549" s="41"/>
      <c r="I549" s="41"/>
      <c r="J549" s="51"/>
      <c r="K549" s="29"/>
      <c r="L549" s="29"/>
      <c r="M549" s="29"/>
      <c r="N549" s="29"/>
      <c r="O549" s="52"/>
      <c r="P549" s="52"/>
      <c r="Q549" s="52"/>
      <c r="R549" s="53"/>
      <c r="S549" s="52"/>
      <c r="T549" s="52"/>
      <c r="U549" s="29"/>
      <c r="V549" s="54"/>
      <c r="W549" s="54"/>
    </row>
    <row r="550" ht="15.75" customHeight="1">
      <c r="A550" s="29"/>
      <c r="B550" s="16"/>
      <c r="C550" s="29"/>
      <c r="D550" s="29"/>
      <c r="E550" s="29"/>
      <c r="F550" s="29"/>
      <c r="G550" s="29"/>
      <c r="H550" s="41"/>
      <c r="I550" s="41"/>
      <c r="J550" s="51"/>
      <c r="K550" s="29"/>
      <c r="L550" s="29"/>
      <c r="M550" s="29"/>
      <c r="N550" s="29"/>
      <c r="O550" s="52"/>
      <c r="P550" s="52"/>
      <c r="Q550" s="52"/>
      <c r="R550" s="53"/>
      <c r="S550" s="52"/>
      <c r="T550" s="52"/>
      <c r="U550" s="29"/>
      <c r="V550" s="54"/>
      <c r="W550" s="54"/>
    </row>
    <row r="551" ht="15.75" customHeight="1">
      <c r="A551" s="29"/>
      <c r="B551" s="16"/>
      <c r="C551" s="29"/>
      <c r="D551" s="29"/>
      <c r="E551" s="29"/>
      <c r="F551" s="29"/>
      <c r="G551" s="29"/>
      <c r="H551" s="41"/>
      <c r="I551" s="41"/>
      <c r="J551" s="51"/>
      <c r="K551" s="29"/>
      <c r="L551" s="29"/>
      <c r="M551" s="29"/>
      <c r="N551" s="29"/>
      <c r="O551" s="52"/>
      <c r="P551" s="52"/>
      <c r="Q551" s="52"/>
      <c r="R551" s="53"/>
      <c r="S551" s="52"/>
      <c r="T551" s="52"/>
      <c r="U551" s="29"/>
      <c r="V551" s="54"/>
      <c r="W551" s="54"/>
    </row>
    <row r="552" ht="15.75" customHeight="1">
      <c r="A552" s="29"/>
      <c r="B552" s="16"/>
      <c r="C552" s="29"/>
      <c r="D552" s="29"/>
      <c r="E552" s="29"/>
      <c r="F552" s="29"/>
      <c r="G552" s="29"/>
      <c r="H552" s="41"/>
      <c r="I552" s="41"/>
      <c r="J552" s="51"/>
      <c r="K552" s="29"/>
      <c r="L552" s="29"/>
      <c r="M552" s="29"/>
      <c r="N552" s="29"/>
      <c r="O552" s="52"/>
      <c r="P552" s="52"/>
      <c r="Q552" s="52"/>
      <c r="R552" s="53"/>
      <c r="S552" s="52"/>
      <c r="T552" s="52"/>
      <c r="U552" s="29"/>
      <c r="V552" s="54"/>
      <c r="W552" s="54"/>
    </row>
    <row r="553" ht="15.75" customHeight="1">
      <c r="A553" s="29"/>
      <c r="B553" s="16"/>
      <c r="C553" s="29"/>
      <c r="D553" s="29"/>
      <c r="E553" s="29"/>
      <c r="F553" s="29"/>
      <c r="G553" s="29"/>
      <c r="H553" s="41"/>
      <c r="I553" s="41"/>
      <c r="J553" s="51"/>
      <c r="K553" s="29"/>
      <c r="L553" s="29"/>
      <c r="M553" s="29"/>
      <c r="N553" s="29"/>
      <c r="O553" s="52"/>
      <c r="P553" s="52"/>
      <c r="Q553" s="52"/>
      <c r="R553" s="53"/>
      <c r="S553" s="52"/>
      <c r="T553" s="52"/>
      <c r="U553" s="29"/>
      <c r="V553" s="54"/>
      <c r="W553" s="54"/>
    </row>
    <row r="554" ht="15.75" customHeight="1">
      <c r="A554" s="29"/>
      <c r="B554" s="16"/>
      <c r="C554" s="29"/>
      <c r="D554" s="29"/>
      <c r="E554" s="29"/>
      <c r="F554" s="29"/>
      <c r="G554" s="29"/>
      <c r="H554" s="41"/>
      <c r="I554" s="41"/>
      <c r="J554" s="51"/>
      <c r="K554" s="29"/>
      <c r="L554" s="29"/>
      <c r="M554" s="29"/>
      <c r="N554" s="29"/>
      <c r="O554" s="52"/>
      <c r="P554" s="52"/>
      <c r="Q554" s="52"/>
      <c r="R554" s="53"/>
      <c r="S554" s="52"/>
      <c r="T554" s="52"/>
      <c r="U554" s="29"/>
      <c r="V554" s="54"/>
      <c r="W554" s="54"/>
    </row>
    <row r="555" ht="15.75" customHeight="1">
      <c r="A555" s="29"/>
      <c r="B555" s="16"/>
      <c r="C555" s="29"/>
      <c r="D555" s="29"/>
      <c r="E555" s="29"/>
      <c r="F555" s="29"/>
      <c r="G555" s="29"/>
      <c r="H555" s="41"/>
      <c r="I555" s="41"/>
      <c r="J555" s="51"/>
      <c r="K555" s="29"/>
      <c r="L555" s="29"/>
      <c r="M555" s="29"/>
      <c r="N555" s="29"/>
      <c r="O555" s="52"/>
      <c r="P555" s="52"/>
      <c r="Q555" s="52"/>
      <c r="R555" s="53"/>
      <c r="S555" s="52"/>
      <c r="T555" s="52"/>
      <c r="U555" s="29"/>
      <c r="V555" s="54"/>
      <c r="W555" s="54"/>
    </row>
    <row r="556" ht="15.75" customHeight="1">
      <c r="A556" s="29"/>
      <c r="B556" s="16"/>
      <c r="C556" s="29"/>
      <c r="D556" s="29"/>
      <c r="E556" s="29"/>
      <c r="F556" s="29"/>
      <c r="G556" s="29"/>
      <c r="H556" s="41"/>
      <c r="I556" s="41"/>
      <c r="J556" s="51"/>
      <c r="K556" s="29"/>
      <c r="L556" s="29"/>
      <c r="M556" s="29"/>
      <c r="N556" s="29"/>
      <c r="O556" s="52"/>
      <c r="P556" s="52"/>
      <c r="Q556" s="52"/>
      <c r="R556" s="53"/>
      <c r="S556" s="52"/>
      <c r="T556" s="52"/>
      <c r="U556" s="29"/>
      <c r="V556" s="54"/>
      <c r="W556" s="54"/>
    </row>
    <row r="557" ht="15.75" customHeight="1">
      <c r="A557" s="29"/>
      <c r="B557" s="16"/>
      <c r="C557" s="29"/>
      <c r="D557" s="29"/>
      <c r="E557" s="29"/>
      <c r="F557" s="29"/>
      <c r="G557" s="29"/>
      <c r="H557" s="41"/>
      <c r="I557" s="41"/>
      <c r="J557" s="51"/>
      <c r="K557" s="29"/>
      <c r="L557" s="29"/>
      <c r="M557" s="29"/>
      <c r="N557" s="29"/>
      <c r="O557" s="52"/>
      <c r="P557" s="52"/>
      <c r="Q557" s="52"/>
      <c r="R557" s="53"/>
      <c r="S557" s="52"/>
      <c r="T557" s="52"/>
      <c r="U557" s="29"/>
      <c r="V557" s="54"/>
      <c r="W557" s="54"/>
    </row>
    <row r="558" ht="15.75" customHeight="1">
      <c r="A558" s="29"/>
      <c r="B558" s="16"/>
      <c r="C558" s="29"/>
      <c r="D558" s="29"/>
      <c r="E558" s="29"/>
      <c r="F558" s="29"/>
      <c r="G558" s="29"/>
      <c r="H558" s="41"/>
      <c r="I558" s="41"/>
      <c r="J558" s="51"/>
      <c r="K558" s="29"/>
      <c r="L558" s="29"/>
      <c r="M558" s="29"/>
      <c r="N558" s="29"/>
      <c r="O558" s="52"/>
      <c r="P558" s="52"/>
      <c r="Q558" s="52"/>
      <c r="R558" s="53"/>
      <c r="S558" s="52"/>
      <c r="T558" s="52"/>
      <c r="U558" s="29"/>
      <c r="V558" s="54"/>
      <c r="W558" s="54"/>
    </row>
    <row r="559" ht="15.75" customHeight="1">
      <c r="A559" s="29"/>
      <c r="B559" s="16"/>
      <c r="C559" s="29"/>
      <c r="D559" s="29"/>
      <c r="E559" s="29"/>
      <c r="F559" s="29"/>
      <c r="G559" s="29"/>
      <c r="H559" s="41"/>
      <c r="I559" s="41"/>
      <c r="J559" s="51"/>
      <c r="K559" s="29"/>
      <c r="L559" s="29"/>
      <c r="M559" s="29"/>
      <c r="N559" s="29"/>
      <c r="O559" s="52"/>
      <c r="P559" s="52"/>
      <c r="Q559" s="52"/>
      <c r="R559" s="53"/>
      <c r="S559" s="52"/>
      <c r="T559" s="52"/>
      <c r="U559" s="29"/>
      <c r="V559" s="54"/>
      <c r="W559" s="54"/>
    </row>
    <row r="560" ht="15.75" customHeight="1">
      <c r="A560" s="29"/>
      <c r="B560" s="16"/>
      <c r="C560" s="29"/>
      <c r="D560" s="29"/>
      <c r="E560" s="29"/>
      <c r="F560" s="29"/>
      <c r="G560" s="29"/>
      <c r="H560" s="41"/>
      <c r="I560" s="41"/>
      <c r="J560" s="51"/>
      <c r="K560" s="29"/>
      <c r="L560" s="29"/>
      <c r="M560" s="29"/>
      <c r="N560" s="29"/>
      <c r="O560" s="52"/>
      <c r="P560" s="52"/>
      <c r="Q560" s="52"/>
      <c r="R560" s="53"/>
      <c r="S560" s="52"/>
      <c r="T560" s="52"/>
      <c r="U560" s="29"/>
      <c r="V560" s="54"/>
      <c r="W560" s="54"/>
    </row>
    <row r="561" ht="15.75" customHeight="1">
      <c r="A561" s="29"/>
      <c r="B561" s="16"/>
      <c r="C561" s="29"/>
      <c r="D561" s="29"/>
      <c r="E561" s="29"/>
      <c r="F561" s="29"/>
      <c r="G561" s="29"/>
      <c r="H561" s="41"/>
      <c r="I561" s="41"/>
      <c r="J561" s="51"/>
      <c r="K561" s="29"/>
      <c r="L561" s="29"/>
      <c r="M561" s="29"/>
      <c r="N561" s="29"/>
      <c r="O561" s="52"/>
      <c r="P561" s="52"/>
      <c r="Q561" s="52"/>
      <c r="R561" s="53"/>
      <c r="S561" s="52"/>
      <c r="T561" s="52"/>
      <c r="U561" s="29"/>
      <c r="V561" s="54"/>
      <c r="W561" s="54"/>
    </row>
    <row r="562" ht="15.75" customHeight="1">
      <c r="A562" s="29"/>
      <c r="B562" s="16"/>
      <c r="C562" s="29"/>
      <c r="D562" s="29"/>
      <c r="E562" s="29"/>
      <c r="F562" s="29"/>
      <c r="G562" s="29"/>
      <c r="H562" s="41"/>
      <c r="I562" s="41"/>
      <c r="J562" s="51"/>
      <c r="K562" s="29"/>
      <c r="L562" s="29"/>
      <c r="M562" s="29"/>
      <c r="N562" s="29"/>
      <c r="O562" s="52"/>
      <c r="P562" s="52"/>
      <c r="Q562" s="52"/>
      <c r="R562" s="53"/>
      <c r="S562" s="52"/>
      <c r="T562" s="52"/>
      <c r="U562" s="29"/>
      <c r="V562" s="54"/>
      <c r="W562" s="54"/>
    </row>
    <row r="563" ht="15.75" customHeight="1">
      <c r="A563" s="29"/>
      <c r="B563" s="16"/>
      <c r="C563" s="29"/>
      <c r="D563" s="29"/>
      <c r="E563" s="29"/>
      <c r="F563" s="29"/>
      <c r="G563" s="29"/>
      <c r="H563" s="41"/>
      <c r="I563" s="41"/>
      <c r="J563" s="51"/>
      <c r="K563" s="29"/>
      <c r="L563" s="29"/>
      <c r="M563" s="29"/>
      <c r="N563" s="29"/>
      <c r="O563" s="52"/>
      <c r="P563" s="52"/>
      <c r="Q563" s="52"/>
      <c r="R563" s="53"/>
      <c r="S563" s="52"/>
      <c r="T563" s="52"/>
      <c r="U563" s="29"/>
      <c r="V563" s="54"/>
      <c r="W563" s="54"/>
    </row>
    <row r="564" ht="15.75" customHeight="1">
      <c r="A564" s="29"/>
      <c r="B564" s="16"/>
      <c r="C564" s="29"/>
      <c r="D564" s="29"/>
      <c r="E564" s="29"/>
      <c r="F564" s="29"/>
      <c r="G564" s="29"/>
      <c r="H564" s="41"/>
      <c r="I564" s="41"/>
      <c r="J564" s="51"/>
      <c r="K564" s="29"/>
      <c r="L564" s="29"/>
      <c r="M564" s="29"/>
      <c r="N564" s="29"/>
      <c r="O564" s="52"/>
      <c r="P564" s="52"/>
      <c r="Q564" s="52"/>
      <c r="R564" s="53"/>
      <c r="S564" s="52"/>
      <c r="T564" s="52"/>
      <c r="U564" s="29"/>
      <c r="V564" s="54"/>
      <c r="W564" s="54"/>
    </row>
    <row r="565" ht="15.75" customHeight="1">
      <c r="A565" s="29"/>
      <c r="B565" s="16"/>
      <c r="C565" s="29"/>
      <c r="D565" s="29"/>
      <c r="E565" s="29"/>
      <c r="F565" s="29"/>
      <c r="G565" s="29"/>
      <c r="H565" s="41"/>
      <c r="I565" s="41"/>
      <c r="J565" s="51"/>
      <c r="K565" s="29"/>
      <c r="L565" s="29"/>
      <c r="M565" s="29"/>
      <c r="N565" s="29"/>
      <c r="O565" s="52"/>
      <c r="P565" s="52"/>
      <c r="Q565" s="52"/>
      <c r="R565" s="53"/>
      <c r="S565" s="52"/>
      <c r="T565" s="52"/>
      <c r="U565" s="29"/>
      <c r="V565" s="54"/>
      <c r="W565" s="54"/>
    </row>
    <row r="566" ht="15.75" customHeight="1">
      <c r="A566" s="29"/>
      <c r="B566" s="16"/>
      <c r="C566" s="29"/>
      <c r="D566" s="29"/>
      <c r="E566" s="29"/>
      <c r="F566" s="29"/>
      <c r="G566" s="29"/>
      <c r="H566" s="41"/>
      <c r="I566" s="41"/>
      <c r="J566" s="51"/>
      <c r="K566" s="29"/>
      <c r="L566" s="29"/>
      <c r="M566" s="29"/>
      <c r="N566" s="29"/>
      <c r="O566" s="52"/>
      <c r="P566" s="52"/>
      <c r="Q566" s="52"/>
      <c r="R566" s="53"/>
      <c r="S566" s="52"/>
      <c r="T566" s="52"/>
      <c r="U566" s="29"/>
      <c r="V566" s="54"/>
      <c r="W566" s="54"/>
    </row>
    <row r="567" ht="15.75" customHeight="1">
      <c r="A567" s="29"/>
      <c r="B567" s="16"/>
      <c r="C567" s="29"/>
      <c r="D567" s="29"/>
      <c r="E567" s="29"/>
      <c r="F567" s="29"/>
      <c r="G567" s="29"/>
      <c r="H567" s="41"/>
      <c r="I567" s="41"/>
      <c r="J567" s="51"/>
      <c r="K567" s="29"/>
      <c r="L567" s="29"/>
      <c r="M567" s="29"/>
      <c r="N567" s="29"/>
      <c r="O567" s="52"/>
      <c r="P567" s="52"/>
      <c r="Q567" s="52"/>
      <c r="R567" s="53"/>
      <c r="S567" s="52"/>
      <c r="T567" s="52"/>
      <c r="U567" s="29"/>
      <c r="V567" s="54"/>
      <c r="W567" s="54"/>
    </row>
    <row r="568" ht="15.75" customHeight="1">
      <c r="A568" s="29"/>
      <c r="B568" s="16"/>
      <c r="C568" s="29"/>
      <c r="D568" s="29"/>
      <c r="E568" s="29"/>
      <c r="F568" s="29"/>
      <c r="G568" s="29"/>
      <c r="H568" s="41"/>
      <c r="I568" s="41"/>
      <c r="J568" s="51"/>
      <c r="K568" s="29"/>
      <c r="L568" s="29"/>
      <c r="M568" s="29"/>
      <c r="N568" s="29"/>
      <c r="O568" s="52"/>
      <c r="P568" s="52"/>
      <c r="Q568" s="52"/>
      <c r="R568" s="53"/>
      <c r="S568" s="52"/>
      <c r="T568" s="52"/>
      <c r="U568" s="29"/>
      <c r="V568" s="54"/>
      <c r="W568" s="54"/>
    </row>
    <row r="569" ht="15.75" customHeight="1">
      <c r="A569" s="29"/>
      <c r="B569" s="16"/>
      <c r="C569" s="29"/>
      <c r="D569" s="29"/>
      <c r="E569" s="29"/>
      <c r="F569" s="29"/>
      <c r="G569" s="29"/>
      <c r="H569" s="41"/>
      <c r="I569" s="41"/>
      <c r="J569" s="51"/>
      <c r="K569" s="29"/>
      <c r="L569" s="29"/>
      <c r="M569" s="29"/>
      <c r="N569" s="29"/>
      <c r="O569" s="52"/>
      <c r="P569" s="52"/>
      <c r="Q569" s="52"/>
      <c r="R569" s="53"/>
      <c r="S569" s="52"/>
      <c r="T569" s="52"/>
      <c r="U569" s="29"/>
      <c r="V569" s="54"/>
      <c r="W569" s="54"/>
    </row>
    <row r="570" ht="15.75" customHeight="1">
      <c r="A570" s="29"/>
      <c r="B570" s="16"/>
      <c r="C570" s="29"/>
      <c r="D570" s="29"/>
      <c r="E570" s="29"/>
      <c r="F570" s="29"/>
      <c r="G570" s="29"/>
      <c r="H570" s="41"/>
      <c r="I570" s="41"/>
      <c r="J570" s="51"/>
      <c r="K570" s="29"/>
      <c r="L570" s="29"/>
      <c r="M570" s="29"/>
      <c r="N570" s="29"/>
      <c r="O570" s="52"/>
      <c r="P570" s="52"/>
      <c r="Q570" s="52"/>
      <c r="R570" s="53"/>
      <c r="S570" s="52"/>
      <c r="T570" s="52"/>
      <c r="U570" s="29"/>
      <c r="V570" s="54"/>
      <c r="W570" s="54"/>
    </row>
    <row r="571" ht="15.75" customHeight="1">
      <c r="A571" s="29"/>
      <c r="B571" s="16"/>
      <c r="C571" s="29"/>
      <c r="D571" s="29"/>
      <c r="E571" s="29"/>
      <c r="F571" s="29"/>
      <c r="G571" s="29"/>
      <c r="H571" s="41"/>
      <c r="I571" s="41"/>
      <c r="J571" s="51"/>
      <c r="K571" s="29"/>
      <c r="L571" s="29"/>
      <c r="M571" s="29"/>
      <c r="N571" s="29"/>
      <c r="O571" s="52"/>
      <c r="P571" s="52"/>
      <c r="Q571" s="52"/>
      <c r="R571" s="53"/>
      <c r="S571" s="52"/>
      <c r="T571" s="52"/>
      <c r="U571" s="29"/>
      <c r="V571" s="54"/>
      <c r="W571" s="54"/>
    </row>
    <row r="572" ht="15.75" customHeight="1">
      <c r="A572" s="29"/>
      <c r="B572" s="16"/>
      <c r="C572" s="29"/>
      <c r="D572" s="29"/>
      <c r="E572" s="29"/>
      <c r="F572" s="29"/>
      <c r="G572" s="29"/>
      <c r="H572" s="41"/>
      <c r="I572" s="41"/>
      <c r="J572" s="51"/>
      <c r="K572" s="29"/>
      <c r="L572" s="29"/>
      <c r="M572" s="29"/>
      <c r="N572" s="29"/>
      <c r="O572" s="52"/>
      <c r="P572" s="52"/>
      <c r="Q572" s="52"/>
      <c r="R572" s="53"/>
      <c r="S572" s="52"/>
      <c r="T572" s="52"/>
      <c r="U572" s="29"/>
      <c r="V572" s="54"/>
      <c r="W572" s="54"/>
    </row>
    <row r="573" ht="15.75" customHeight="1">
      <c r="A573" s="29"/>
      <c r="B573" s="16"/>
      <c r="C573" s="29"/>
      <c r="D573" s="29"/>
      <c r="E573" s="29"/>
      <c r="F573" s="29"/>
      <c r="G573" s="29"/>
      <c r="H573" s="41"/>
      <c r="I573" s="41"/>
      <c r="J573" s="51"/>
      <c r="K573" s="29"/>
      <c r="L573" s="29"/>
      <c r="M573" s="29"/>
      <c r="N573" s="29"/>
      <c r="O573" s="52"/>
      <c r="P573" s="52"/>
      <c r="Q573" s="52"/>
      <c r="R573" s="53"/>
      <c r="S573" s="52"/>
      <c r="T573" s="52"/>
      <c r="U573" s="29"/>
      <c r="V573" s="54"/>
      <c r="W573" s="54"/>
    </row>
    <row r="574" ht="15.75" customHeight="1">
      <c r="A574" s="29"/>
      <c r="B574" s="16"/>
      <c r="C574" s="29"/>
      <c r="D574" s="29"/>
      <c r="E574" s="29"/>
      <c r="F574" s="29"/>
      <c r="G574" s="29"/>
      <c r="H574" s="41"/>
      <c r="I574" s="41"/>
      <c r="J574" s="51"/>
      <c r="K574" s="29"/>
      <c r="L574" s="29"/>
      <c r="M574" s="29"/>
      <c r="N574" s="29"/>
      <c r="O574" s="52"/>
      <c r="P574" s="52"/>
      <c r="Q574" s="52"/>
      <c r="R574" s="53"/>
      <c r="S574" s="52"/>
      <c r="T574" s="52"/>
      <c r="U574" s="29"/>
      <c r="V574" s="54"/>
      <c r="W574" s="54"/>
    </row>
    <row r="575" ht="15.75" customHeight="1">
      <c r="A575" s="29"/>
      <c r="B575" s="16"/>
      <c r="C575" s="29"/>
      <c r="D575" s="29"/>
      <c r="E575" s="29"/>
      <c r="F575" s="29"/>
      <c r="G575" s="29"/>
      <c r="H575" s="41"/>
      <c r="I575" s="41"/>
      <c r="J575" s="51"/>
      <c r="K575" s="29"/>
      <c r="L575" s="29"/>
      <c r="M575" s="29"/>
      <c r="N575" s="29"/>
      <c r="O575" s="52"/>
      <c r="P575" s="52"/>
      <c r="Q575" s="52"/>
      <c r="R575" s="53"/>
      <c r="S575" s="52"/>
      <c r="T575" s="52"/>
      <c r="U575" s="29"/>
      <c r="V575" s="54"/>
      <c r="W575" s="54"/>
    </row>
    <row r="576" ht="15.75" customHeight="1">
      <c r="A576" s="29"/>
      <c r="B576" s="16"/>
      <c r="C576" s="29"/>
      <c r="D576" s="29"/>
      <c r="E576" s="29"/>
      <c r="F576" s="29"/>
      <c r="G576" s="29"/>
      <c r="H576" s="41"/>
      <c r="I576" s="41"/>
      <c r="J576" s="51"/>
      <c r="K576" s="29"/>
      <c r="L576" s="29"/>
      <c r="M576" s="29"/>
      <c r="N576" s="29"/>
      <c r="O576" s="52"/>
      <c r="P576" s="52"/>
      <c r="Q576" s="52"/>
      <c r="R576" s="53"/>
      <c r="S576" s="52"/>
      <c r="T576" s="52"/>
      <c r="U576" s="29"/>
      <c r="V576" s="54"/>
      <c r="W576" s="54"/>
    </row>
    <row r="577" ht="15.75" customHeight="1">
      <c r="A577" s="29"/>
      <c r="B577" s="16"/>
      <c r="C577" s="29"/>
      <c r="D577" s="29"/>
      <c r="E577" s="29"/>
      <c r="F577" s="29"/>
      <c r="G577" s="29"/>
      <c r="H577" s="41"/>
      <c r="I577" s="41"/>
      <c r="J577" s="51"/>
      <c r="K577" s="29"/>
      <c r="L577" s="29"/>
      <c r="M577" s="29"/>
      <c r="N577" s="29"/>
      <c r="O577" s="52"/>
      <c r="P577" s="52"/>
      <c r="Q577" s="52"/>
      <c r="R577" s="53"/>
      <c r="S577" s="52"/>
      <c r="T577" s="52"/>
      <c r="U577" s="29"/>
      <c r="V577" s="54"/>
      <c r="W577" s="54"/>
    </row>
    <row r="578" ht="15.75" customHeight="1">
      <c r="A578" s="29"/>
      <c r="B578" s="16"/>
      <c r="C578" s="29"/>
      <c r="D578" s="29"/>
      <c r="E578" s="29"/>
      <c r="F578" s="29"/>
      <c r="G578" s="29"/>
      <c r="H578" s="41"/>
      <c r="I578" s="41"/>
      <c r="J578" s="51"/>
      <c r="K578" s="29"/>
      <c r="L578" s="29"/>
      <c r="M578" s="29"/>
      <c r="N578" s="29"/>
      <c r="O578" s="52"/>
      <c r="P578" s="52"/>
      <c r="Q578" s="52"/>
      <c r="R578" s="53"/>
      <c r="S578" s="52"/>
      <c r="T578" s="52"/>
      <c r="U578" s="29"/>
      <c r="V578" s="54"/>
      <c r="W578" s="54"/>
    </row>
    <row r="579" ht="15.75" customHeight="1">
      <c r="A579" s="29"/>
      <c r="B579" s="16"/>
      <c r="C579" s="29"/>
      <c r="D579" s="29"/>
      <c r="E579" s="29"/>
      <c r="F579" s="29"/>
      <c r="G579" s="29"/>
      <c r="H579" s="41"/>
      <c r="I579" s="41"/>
      <c r="J579" s="51"/>
      <c r="K579" s="29"/>
      <c r="L579" s="29"/>
      <c r="M579" s="29"/>
      <c r="N579" s="29"/>
      <c r="O579" s="52"/>
      <c r="P579" s="52"/>
      <c r="Q579" s="52"/>
      <c r="R579" s="53"/>
      <c r="S579" s="52"/>
      <c r="T579" s="52"/>
      <c r="U579" s="29"/>
      <c r="V579" s="54"/>
      <c r="W579" s="54"/>
    </row>
    <row r="580" ht="15.75" customHeight="1">
      <c r="A580" s="29"/>
      <c r="B580" s="16"/>
      <c r="C580" s="29"/>
      <c r="D580" s="29"/>
      <c r="E580" s="29"/>
      <c r="F580" s="29"/>
      <c r="G580" s="29"/>
      <c r="H580" s="41"/>
      <c r="I580" s="41"/>
      <c r="J580" s="51"/>
      <c r="K580" s="29"/>
      <c r="L580" s="29"/>
      <c r="M580" s="29"/>
      <c r="N580" s="29"/>
      <c r="O580" s="52"/>
      <c r="P580" s="52"/>
      <c r="Q580" s="52"/>
      <c r="R580" s="53"/>
      <c r="S580" s="52"/>
      <c r="T580" s="52"/>
      <c r="U580" s="29"/>
      <c r="V580" s="54"/>
      <c r="W580" s="54"/>
    </row>
    <row r="581" ht="15.75" customHeight="1">
      <c r="A581" s="29"/>
      <c r="B581" s="16"/>
      <c r="C581" s="29"/>
      <c r="D581" s="29"/>
      <c r="E581" s="29"/>
      <c r="F581" s="29"/>
      <c r="G581" s="29"/>
      <c r="H581" s="41"/>
      <c r="I581" s="41"/>
      <c r="J581" s="51"/>
      <c r="K581" s="29"/>
      <c r="L581" s="29"/>
      <c r="M581" s="29"/>
      <c r="N581" s="29"/>
      <c r="O581" s="52"/>
      <c r="P581" s="52"/>
      <c r="Q581" s="52"/>
      <c r="R581" s="53"/>
      <c r="S581" s="52"/>
      <c r="T581" s="52"/>
      <c r="U581" s="29"/>
      <c r="V581" s="54"/>
      <c r="W581" s="54"/>
    </row>
    <row r="582" ht="15.75" customHeight="1">
      <c r="A582" s="29"/>
      <c r="B582" s="16"/>
      <c r="C582" s="29"/>
      <c r="D582" s="29"/>
      <c r="E582" s="29"/>
      <c r="F582" s="29"/>
      <c r="G582" s="29"/>
      <c r="H582" s="41"/>
      <c r="I582" s="41"/>
      <c r="J582" s="51"/>
      <c r="K582" s="29"/>
      <c r="L582" s="29"/>
      <c r="M582" s="29"/>
      <c r="N582" s="29"/>
      <c r="O582" s="52"/>
      <c r="P582" s="52"/>
      <c r="Q582" s="52"/>
      <c r="R582" s="53"/>
      <c r="S582" s="52"/>
      <c r="T582" s="52"/>
      <c r="U582" s="29"/>
      <c r="V582" s="54"/>
      <c r="W582" s="54"/>
    </row>
    <row r="583" ht="15.75" customHeight="1">
      <c r="A583" s="29"/>
      <c r="B583" s="16"/>
      <c r="C583" s="29"/>
      <c r="D583" s="29"/>
      <c r="E583" s="29"/>
      <c r="F583" s="29"/>
      <c r="G583" s="29"/>
      <c r="H583" s="41"/>
      <c r="I583" s="41"/>
      <c r="J583" s="51"/>
      <c r="K583" s="29"/>
      <c r="L583" s="29"/>
      <c r="M583" s="29"/>
      <c r="N583" s="29"/>
      <c r="O583" s="52"/>
      <c r="P583" s="52"/>
      <c r="Q583" s="52"/>
      <c r="R583" s="53"/>
      <c r="S583" s="52"/>
      <c r="T583" s="52"/>
      <c r="U583" s="29"/>
      <c r="V583" s="54"/>
      <c r="W583" s="54"/>
    </row>
    <row r="584" ht="15.75" customHeight="1">
      <c r="A584" s="29"/>
      <c r="B584" s="16"/>
      <c r="C584" s="29"/>
      <c r="D584" s="29"/>
      <c r="E584" s="29"/>
      <c r="F584" s="29"/>
      <c r="G584" s="29"/>
      <c r="H584" s="41"/>
      <c r="I584" s="41"/>
      <c r="J584" s="51"/>
      <c r="K584" s="29"/>
      <c r="L584" s="29"/>
      <c r="M584" s="29"/>
      <c r="N584" s="29"/>
      <c r="O584" s="52"/>
      <c r="P584" s="52"/>
      <c r="Q584" s="52"/>
      <c r="R584" s="53"/>
      <c r="S584" s="52"/>
      <c r="T584" s="52"/>
      <c r="U584" s="29"/>
      <c r="V584" s="54"/>
      <c r="W584" s="54"/>
    </row>
    <row r="585" ht="15.75" customHeight="1">
      <c r="A585" s="29"/>
      <c r="B585" s="16"/>
      <c r="C585" s="29"/>
      <c r="D585" s="29"/>
      <c r="E585" s="29"/>
      <c r="F585" s="29"/>
      <c r="G585" s="29"/>
      <c r="H585" s="41"/>
      <c r="I585" s="41"/>
      <c r="J585" s="51"/>
      <c r="K585" s="29"/>
      <c r="L585" s="29"/>
      <c r="M585" s="29"/>
      <c r="N585" s="29"/>
      <c r="O585" s="52"/>
      <c r="P585" s="52"/>
      <c r="Q585" s="52"/>
      <c r="R585" s="53"/>
      <c r="S585" s="52"/>
      <c r="T585" s="52"/>
      <c r="U585" s="29"/>
      <c r="V585" s="54"/>
      <c r="W585" s="54"/>
    </row>
    <row r="586" ht="15.75" customHeight="1">
      <c r="A586" s="29"/>
      <c r="B586" s="16"/>
      <c r="C586" s="29"/>
      <c r="D586" s="29"/>
      <c r="E586" s="29"/>
      <c r="F586" s="29"/>
      <c r="G586" s="29"/>
      <c r="H586" s="41"/>
      <c r="I586" s="41"/>
      <c r="J586" s="51"/>
      <c r="K586" s="29"/>
      <c r="L586" s="29"/>
      <c r="M586" s="29"/>
      <c r="N586" s="29"/>
      <c r="O586" s="52"/>
      <c r="P586" s="52"/>
      <c r="Q586" s="52"/>
      <c r="R586" s="53"/>
      <c r="S586" s="52"/>
      <c r="T586" s="52"/>
      <c r="U586" s="29"/>
      <c r="V586" s="54"/>
      <c r="W586" s="54"/>
    </row>
    <row r="587" ht="15.75" customHeight="1">
      <c r="A587" s="29"/>
      <c r="B587" s="16"/>
      <c r="C587" s="29"/>
      <c r="D587" s="29"/>
      <c r="E587" s="29"/>
      <c r="F587" s="29"/>
      <c r="G587" s="29"/>
      <c r="H587" s="41"/>
      <c r="I587" s="41"/>
      <c r="J587" s="51"/>
      <c r="K587" s="29"/>
      <c r="L587" s="29"/>
      <c r="M587" s="29"/>
      <c r="N587" s="29"/>
      <c r="O587" s="52"/>
      <c r="P587" s="52"/>
      <c r="Q587" s="52"/>
      <c r="R587" s="53"/>
      <c r="S587" s="52"/>
      <c r="T587" s="52"/>
      <c r="U587" s="29"/>
      <c r="V587" s="54"/>
      <c r="W587" s="54"/>
    </row>
    <row r="588" ht="15.75" customHeight="1">
      <c r="A588" s="29"/>
      <c r="B588" s="16"/>
      <c r="C588" s="29"/>
      <c r="D588" s="29"/>
      <c r="E588" s="29"/>
      <c r="F588" s="29"/>
      <c r="G588" s="29"/>
      <c r="H588" s="41"/>
      <c r="I588" s="41"/>
      <c r="J588" s="51"/>
      <c r="K588" s="29"/>
      <c r="L588" s="29"/>
      <c r="M588" s="29"/>
      <c r="N588" s="29"/>
      <c r="O588" s="52"/>
      <c r="P588" s="52"/>
      <c r="Q588" s="52"/>
      <c r="R588" s="53"/>
      <c r="S588" s="52"/>
      <c r="T588" s="52"/>
      <c r="U588" s="29"/>
      <c r="V588" s="54"/>
      <c r="W588" s="54"/>
    </row>
    <row r="589" ht="15.75" customHeight="1">
      <c r="A589" s="29"/>
      <c r="B589" s="16"/>
      <c r="C589" s="29"/>
      <c r="D589" s="29"/>
      <c r="E589" s="29"/>
      <c r="F589" s="29"/>
      <c r="G589" s="29"/>
      <c r="H589" s="41"/>
      <c r="I589" s="41"/>
      <c r="J589" s="51"/>
      <c r="K589" s="29"/>
      <c r="L589" s="29"/>
      <c r="M589" s="29"/>
      <c r="N589" s="29"/>
      <c r="O589" s="52"/>
      <c r="P589" s="52"/>
      <c r="Q589" s="52"/>
      <c r="R589" s="53"/>
      <c r="S589" s="52"/>
      <c r="T589" s="52"/>
      <c r="U589" s="29"/>
      <c r="V589" s="54"/>
      <c r="W589" s="54"/>
    </row>
    <row r="590" ht="15.75" customHeight="1">
      <c r="A590" s="29"/>
      <c r="B590" s="16"/>
      <c r="C590" s="29"/>
      <c r="D590" s="29"/>
      <c r="E590" s="29"/>
      <c r="F590" s="29"/>
      <c r="G590" s="29"/>
      <c r="H590" s="41"/>
      <c r="I590" s="41"/>
      <c r="J590" s="51"/>
      <c r="K590" s="29"/>
      <c r="L590" s="29"/>
      <c r="M590" s="29"/>
      <c r="N590" s="29"/>
      <c r="O590" s="52"/>
      <c r="P590" s="52"/>
      <c r="Q590" s="52"/>
      <c r="R590" s="53"/>
      <c r="S590" s="52"/>
      <c r="T590" s="52"/>
      <c r="U590" s="29"/>
      <c r="V590" s="54"/>
      <c r="W590" s="54"/>
    </row>
    <row r="591" ht="15.75" customHeight="1">
      <c r="A591" s="29"/>
      <c r="B591" s="16"/>
      <c r="C591" s="29"/>
      <c r="D591" s="29"/>
      <c r="E591" s="29"/>
      <c r="F591" s="29"/>
      <c r="G591" s="29"/>
      <c r="H591" s="41"/>
      <c r="I591" s="41"/>
      <c r="J591" s="51"/>
      <c r="K591" s="29"/>
      <c r="L591" s="29"/>
      <c r="M591" s="29"/>
      <c r="N591" s="29"/>
      <c r="O591" s="52"/>
      <c r="P591" s="52"/>
      <c r="Q591" s="52"/>
      <c r="R591" s="53"/>
      <c r="S591" s="52"/>
      <c r="T591" s="52"/>
      <c r="U591" s="29"/>
      <c r="V591" s="54"/>
      <c r="W591" s="54"/>
    </row>
    <row r="592" ht="15.75" customHeight="1">
      <c r="A592" s="29"/>
      <c r="B592" s="16"/>
      <c r="C592" s="29"/>
      <c r="D592" s="29"/>
      <c r="E592" s="29"/>
      <c r="F592" s="29"/>
      <c r="G592" s="29"/>
      <c r="H592" s="41"/>
      <c r="I592" s="41"/>
      <c r="J592" s="51"/>
      <c r="K592" s="29"/>
      <c r="L592" s="29"/>
      <c r="M592" s="29"/>
      <c r="N592" s="29"/>
      <c r="O592" s="52"/>
      <c r="P592" s="52"/>
      <c r="Q592" s="52"/>
      <c r="R592" s="53"/>
      <c r="S592" s="52"/>
      <c r="T592" s="52"/>
      <c r="U592" s="29"/>
      <c r="V592" s="54"/>
      <c r="W592" s="54"/>
    </row>
    <row r="593" ht="15.75" customHeight="1">
      <c r="A593" s="29"/>
      <c r="B593" s="16"/>
      <c r="C593" s="29"/>
      <c r="D593" s="29"/>
      <c r="E593" s="29"/>
      <c r="F593" s="29"/>
      <c r="G593" s="29"/>
      <c r="H593" s="41"/>
      <c r="I593" s="41"/>
      <c r="J593" s="51"/>
      <c r="K593" s="29"/>
      <c r="L593" s="29"/>
      <c r="M593" s="29"/>
      <c r="N593" s="29"/>
      <c r="O593" s="52"/>
      <c r="P593" s="52"/>
      <c r="Q593" s="52"/>
      <c r="R593" s="53"/>
      <c r="S593" s="52"/>
      <c r="T593" s="52"/>
      <c r="U593" s="29"/>
      <c r="V593" s="54"/>
      <c r="W593" s="54"/>
    </row>
    <row r="594" ht="15.75" customHeight="1">
      <c r="A594" s="29"/>
      <c r="B594" s="16"/>
      <c r="C594" s="29"/>
      <c r="D594" s="29"/>
      <c r="E594" s="29"/>
      <c r="F594" s="29"/>
      <c r="G594" s="29"/>
      <c r="H594" s="41"/>
      <c r="I594" s="41"/>
      <c r="J594" s="51"/>
      <c r="K594" s="29"/>
      <c r="L594" s="29"/>
      <c r="M594" s="29"/>
      <c r="N594" s="29"/>
      <c r="O594" s="52"/>
      <c r="P594" s="52"/>
      <c r="Q594" s="52"/>
      <c r="R594" s="53"/>
      <c r="S594" s="52"/>
      <c r="T594" s="52"/>
      <c r="U594" s="29"/>
      <c r="V594" s="54"/>
      <c r="W594" s="54"/>
    </row>
    <row r="595" ht="15.75" customHeight="1">
      <c r="A595" s="29"/>
      <c r="B595" s="16"/>
      <c r="C595" s="29"/>
      <c r="D595" s="29"/>
      <c r="E595" s="29"/>
      <c r="F595" s="29"/>
      <c r="G595" s="29"/>
      <c r="H595" s="41"/>
      <c r="I595" s="41"/>
      <c r="J595" s="51"/>
      <c r="K595" s="29"/>
      <c r="L595" s="29"/>
      <c r="M595" s="29"/>
      <c r="N595" s="29"/>
      <c r="O595" s="52"/>
      <c r="P595" s="52"/>
      <c r="Q595" s="52"/>
      <c r="R595" s="53"/>
      <c r="S595" s="52"/>
      <c r="T595" s="52"/>
      <c r="U595" s="29"/>
      <c r="V595" s="54"/>
      <c r="W595" s="54"/>
    </row>
    <row r="596" ht="15.75" customHeight="1">
      <c r="A596" s="29"/>
      <c r="B596" s="16"/>
      <c r="C596" s="29"/>
      <c r="D596" s="29"/>
      <c r="E596" s="29"/>
      <c r="F596" s="29"/>
      <c r="G596" s="29"/>
      <c r="H596" s="41"/>
      <c r="I596" s="41"/>
      <c r="J596" s="51"/>
      <c r="K596" s="29"/>
      <c r="L596" s="29"/>
      <c r="M596" s="29"/>
      <c r="N596" s="29"/>
      <c r="O596" s="52"/>
      <c r="P596" s="52"/>
      <c r="Q596" s="52"/>
      <c r="R596" s="53"/>
      <c r="S596" s="52"/>
      <c r="T596" s="52"/>
      <c r="U596" s="29"/>
      <c r="V596" s="54"/>
      <c r="W596" s="54"/>
    </row>
    <row r="597" ht="15.75" customHeight="1">
      <c r="A597" s="29"/>
      <c r="B597" s="16"/>
      <c r="C597" s="29"/>
      <c r="D597" s="29"/>
      <c r="E597" s="29"/>
      <c r="F597" s="29"/>
      <c r="G597" s="29"/>
      <c r="H597" s="41"/>
      <c r="I597" s="41"/>
      <c r="J597" s="51"/>
      <c r="K597" s="29"/>
      <c r="L597" s="29"/>
      <c r="M597" s="29"/>
      <c r="N597" s="29"/>
      <c r="O597" s="52"/>
      <c r="P597" s="52"/>
      <c r="Q597" s="52"/>
      <c r="R597" s="53"/>
      <c r="S597" s="52"/>
      <c r="T597" s="52"/>
      <c r="U597" s="29"/>
      <c r="V597" s="54"/>
      <c r="W597" s="54"/>
    </row>
    <row r="598" ht="15.75" customHeight="1">
      <c r="A598" s="29"/>
      <c r="B598" s="16"/>
      <c r="C598" s="29"/>
      <c r="D598" s="29"/>
      <c r="E598" s="29"/>
      <c r="F598" s="29"/>
      <c r="G598" s="29"/>
      <c r="H598" s="41"/>
      <c r="I598" s="41"/>
      <c r="J598" s="51"/>
      <c r="K598" s="29"/>
      <c r="L598" s="29"/>
      <c r="M598" s="29"/>
      <c r="N598" s="29"/>
      <c r="O598" s="52"/>
      <c r="P598" s="52"/>
      <c r="Q598" s="52"/>
      <c r="R598" s="53"/>
      <c r="S598" s="52"/>
      <c r="T598" s="52"/>
      <c r="U598" s="29"/>
      <c r="V598" s="54"/>
      <c r="W598" s="54"/>
    </row>
    <row r="599" ht="15.75" customHeight="1">
      <c r="A599" s="29"/>
      <c r="B599" s="16"/>
      <c r="C599" s="29"/>
      <c r="D599" s="29"/>
      <c r="E599" s="29"/>
      <c r="F599" s="29"/>
      <c r="G599" s="29"/>
      <c r="H599" s="41"/>
      <c r="I599" s="41"/>
      <c r="J599" s="51"/>
      <c r="K599" s="29"/>
      <c r="L599" s="29"/>
      <c r="M599" s="29"/>
      <c r="N599" s="29"/>
      <c r="O599" s="52"/>
      <c r="P599" s="52"/>
      <c r="Q599" s="52"/>
      <c r="R599" s="53"/>
      <c r="S599" s="52"/>
      <c r="T599" s="52"/>
      <c r="U599" s="29"/>
      <c r="V599" s="54"/>
      <c r="W599" s="54"/>
    </row>
    <row r="600" ht="15.75" customHeight="1">
      <c r="A600" s="29"/>
      <c r="B600" s="16"/>
      <c r="C600" s="29"/>
      <c r="D600" s="29"/>
      <c r="E600" s="29"/>
      <c r="F600" s="29"/>
      <c r="G600" s="29"/>
      <c r="H600" s="41"/>
      <c r="I600" s="41"/>
      <c r="J600" s="51"/>
      <c r="K600" s="29"/>
      <c r="L600" s="29"/>
      <c r="M600" s="29"/>
      <c r="N600" s="29"/>
      <c r="O600" s="52"/>
      <c r="P600" s="52"/>
      <c r="Q600" s="52"/>
      <c r="R600" s="53"/>
      <c r="S600" s="52"/>
      <c r="T600" s="52"/>
      <c r="U600" s="29"/>
      <c r="V600" s="54"/>
      <c r="W600" s="54"/>
    </row>
    <row r="601" ht="15.75" customHeight="1">
      <c r="A601" s="29"/>
      <c r="B601" s="16"/>
      <c r="C601" s="29"/>
      <c r="D601" s="29"/>
      <c r="E601" s="29"/>
      <c r="F601" s="29"/>
      <c r="G601" s="29"/>
      <c r="H601" s="41"/>
      <c r="I601" s="41"/>
      <c r="J601" s="51"/>
      <c r="K601" s="29"/>
      <c r="L601" s="29"/>
      <c r="M601" s="29"/>
      <c r="N601" s="29"/>
      <c r="O601" s="52"/>
      <c r="P601" s="52"/>
      <c r="Q601" s="52"/>
      <c r="R601" s="53"/>
      <c r="S601" s="52"/>
      <c r="T601" s="52"/>
      <c r="U601" s="29"/>
      <c r="V601" s="54"/>
      <c r="W601" s="54"/>
    </row>
    <row r="602" ht="15.75" customHeight="1">
      <c r="A602" s="29"/>
      <c r="B602" s="16"/>
      <c r="C602" s="29"/>
      <c r="D602" s="29"/>
      <c r="E602" s="29"/>
      <c r="F602" s="29"/>
      <c r="G602" s="29"/>
      <c r="H602" s="41"/>
      <c r="I602" s="41"/>
      <c r="J602" s="51"/>
      <c r="K602" s="29"/>
      <c r="L602" s="29"/>
      <c r="M602" s="29"/>
      <c r="N602" s="29"/>
      <c r="O602" s="52"/>
      <c r="P602" s="52"/>
      <c r="Q602" s="52"/>
      <c r="R602" s="53"/>
      <c r="S602" s="52"/>
      <c r="T602" s="52"/>
      <c r="U602" s="29"/>
      <c r="V602" s="54"/>
      <c r="W602" s="54"/>
    </row>
    <row r="603" ht="15.75" customHeight="1">
      <c r="A603" s="29"/>
      <c r="B603" s="16"/>
      <c r="C603" s="29"/>
      <c r="D603" s="29"/>
      <c r="E603" s="29"/>
      <c r="F603" s="29"/>
      <c r="G603" s="29"/>
      <c r="H603" s="41"/>
      <c r="I603" s="41"/>
      <c r="J603" s="51"/>
      <c r="K603" s="29"/>
      <c r="L603" s="29"/>
      <c r="M603" s="29"/>
      <c r="N603" s="29"/>
      <c r="O603" s="52"/>
      <c r="P603" s="52"/>
      <c r="Q603" s="52"/>
      <c r="R603" s="53"/>
      <c r="S603" s="52"/>
      <c r="T603" s="52"/>
      <c r="U603" s="29"/>
      <c r="V603" s="54"/>
      <c r="W603" s="54"/>
    </row>
    <row r="604" ht="15.75" customHeight="1">
      <c r="A604" s="29"/>
      <c r="B604" s="16"/>
      <c r="C604" s="29"/>
      <c r="D604" s="29"/>
      <c r="E604" s="29"/>
      <c r="F604" s="29"/>
      <c r="G604" s="29"/>
      <c r="H604" s="41"/>
      <c r="I604" s="41"/>
      <c r="J604" s="51"/>
      <c r="K604" s="29"/>
      <c r="L604" s="29"/>
      <c r="M604" s="29"/>
      <c r="N604" s="29"/>
      <c r="O604" s="52"/>
      <c r="P604" s="52"/>
      <c r="Q604" s="52"/>
      <c r="R604" s="53"/>
      <c r="S604" s="52"/>
      <c r="T604" s="52"/>
      <c r="U604" s="29"/>
      <c r="V604" s="54"/>
      <c r="W604" s="54"/>
    </row>
    <row r="605" ht="15.75" customHeight="1">
      <c r="A605" s="29"/>
      <c r="B605" s="16"/>
      <c r="C605" s="29"/>
      <c r="D605" s="29"/>
      <c r="E605" s="29"/>
      <c r="F605" s="29"/>
      <c r="G605" s="29"/>
      <c r="H605" s="41"/>
      <c r="I605" s="41"/>
      <c r="J605" s="51"/>
      <c r="K605" s="29"/>
      <c r="L605" s="29"/>
      <c r="M605" s="29"/>
      <c r="N605" s="29"/>
      <c r="O605" s="52"/>
      <c r="P605" s="52"/>
      <c r="Q605" s="52"/>
      <c r="R605" s="53"/>
      <c r="S605" s="52"/>
      <c r="T605" s="52"/>
      <c r="U605" s="29"/>
      <c r="V605" s="54"/>
      <c r="W605" s="54"/>
    </row>
    <row r="606" ht="15.75" customHeight="1">
      <c r="A606" s="29"/>
      <c r="B606" s="16"/>
      <c r="C606" s="29"/>
      <c r="D606" s="29"/>
      <c r="E606" s="29"/>
      <c r="F606" s="29"/>
      <c r="G606" s="29"/>
      <c r="H606" s="41"/>
      <c r="I606" s="41"/>
      <c r="J606" s="51"/>
      <c r="K606" s="29"/>
      <c r="L606" s="29"/>
      <c r="M606" s="29"/>
      <c r="N606" s="29"/>
      <c r="O606" s="52"/>
      <c r="P606" s="52"/>
      <c r="Q606" s="52"/>
      <c r="R606" s="53"/>
      <c r="S606" s="52"/>
      <c r="T606" s="52"/>
      <c r="U606" s="29"/>
      <c r="V606" s="54"/>
      <c r="W606" s="54"/>
    </row>
    <row r="607" ht="15.75" customHeight="1">
      <c r="A607" s="29"/>
      <c r="B607" s="16"/>
      <c r="C607" s="29"/>
      <c r="D607" s="29"/>
      <c r="E607" s="29"/>
      <c r="F607" s="29"/>
      <c r="G607" s="29"/>
      <c r="H607" s="41"/>
      <c r="I607" s="41"/>
      <c r="J607" s="51"/>
      <c r="K607" s="29"/>
      <c r="L607" s="29"/>
      <c r="M607" s="29"/>
      <c r="N607" s="29"/>
      <c r="O607" s="52"/>
      <c r="P607" s="52"/>
      <c r="Q607" s="52"/>
      <c r="R607" s="53"/>
      <c r="S607" s="52"/>
      <c r="T607" s="52"/>
      <c r="U607" s="29"/>
      <c r="V607" s="54"/>
      <c r="W607" s="54"/>
    </row>
    <row r="608" ht="15.75" customHeight="1">
      <c r="A608" s="29"/>
      <c r="B608" s="16"/>
      <c r="C608" s="29"/>
      <c r="D608" s="29"/>
      <c r="E608" s="29"/>
      <c r="F608" s="29"/>
      <c r="G608" s="29"/>
      <c r="H608" s="41"/>
      <c r="I608" s="41"/>
      <c r="J608" s="51"/>
      <c r="K608" s="29"/>
      <c r="L608" s="29"/>
      <c r="M608" s="29"/>
      <c r="N608" s="29"/>
      <c r="O608" s="52"/>
      <c r="P608" s="52"/>
      <c r="Q608" s="52"/>
      <c r="R608" s="53"/>
      <c r="S608" s="52"/>
      <c r="T608" s="52"/>
      <c r="U608" s="29"/>
      <c r="V608" s="54"/>
      <c r="W608" s="54"/>
    </row>
    <row r="609" ht="15.75" customHeight="1">
      <c r="A609" s="29"/>
      <c r="B609" s="16"/>
      <c r="C609" s="29"/>
      <c r="D609" s="29"/>
      <c r="E609" s="29"/>
      <c r="F609" s="29"/>
      <c r="G609" s="29"/>
      <c r="H609" s="41"/>
      <c r="I609" s="41"/>
      <c r="J609" s="51"/>
      <c r="K609" s="29"/>
      <c r="L609" s="29"/>
      <c r="M609" s="29"/>
      <c r="N609" s="29"/>
      <c r="O609" s="52"/>
      <c r="P609" s="52"/>
      <c r="Q609" s="52"/>
      <c r="R609" s="53"/>
      <c r="S609" s="52"/>
      <c r="T609" s="52"/>
      <c r="U609" s="29"/>
      <c r="V609" s="54"/>
      <c r="W609" s="54"/>
    </row>
    <row r="610" ht="15.75" customHeight="1">
      <c r="A610" s="29"/>
      <c r="B610" s="16"/>
      <c r="C610" s="29"/>
      <c r="D610" s="29"/>
      <c r="E610" s="29"/>
      <c r="F610" s="29"/>
      <c r="G610" s="29"/>
      <c r="H610" s="41"/>
      <c r="I610" s="41"/>
      <c r="J610" s="51"/>
      <c r="K610" s="29"/>
      <c r="L610" s="29"/>
      <c r="M610" s="29"/>
      <c r="N610" s="29"/>
      <c r="O610" s="52"/>
      <c r="P610" s="52"/>
      <c r="Q610" s="52"/>
      <c r="R610" s="53"/>
      <c r="S610" s="52"/>
      <c r="T610" s="52"/>
      <c r="U610" s="29"/>
      <c r="V610" s="54"/>
      <c r="W610" s="54"/>
    </row>
    <row r="611" ht="15.75" customHeight="1">
      <c r="A611" s="29"/>
      <c r="B611" s="16"/>
      <c r="C611" s="29"/>
      <c r="D611" s="29"/>
      <c r="E611" s="29"/>
      <c r="F611" s="29"/>
      <c r="G611" s="29"/>
      <c r="H611" s="41"/>
      <c r="I611" s="41"/>
      <c r="J611" s="51"/>
      <c r="K611" s="29"/>
      <c r="L611" s="29"/>
      <c r="M611" s="29"/>
      <c r="N611" s="29"/>
      <c r="O611" s="52"/>
      <c r="P611" s="52"/>
      <c r="Q611" s="52"/>
      <c r="R611" s="53"/>
      <c r="S611" s="52"/>
      <c r="T611" s="52"/>
      <c r="U611" s="29"/>
      <c r="V611" s="54"/>
      <c r="W611" s="54"/>
    </row>
    <row r="612" ht="15.75" customHeight="1">
      <c r="A612" s="29"/>
      <c r="B612" s="16"/>
      <c r="C612" s="29"/>
      <c r="D612" s="29"/>
      <c r="E612" s="29"/>
      <c r="F612" s="29"/>
      <c r="G612" s="29"/>
      <c r="H612" s="41"/>
      <c r="I612" s="41"/>
      <c r="J612" s="51"/>
      <c r="K612" s="29"/>
      <c r="L612" s="29"/>
      <c r="M612" s="29"/>
      <c r="N612" s="29"/>
      <c r="O612" s="52"/>
      <c r="P612" s="52"/>
      <c r="Q612" s="52"/>
      <c r="R612" s="53"/>
      <c r="S612" s="52"/>
      <c r="T612" s="52"/>
      <c r="U612" s="29"/>
      <c r="V612" s="54"/>
      <c r="W612" s="54"/>
    </row>
    <row r="613" ht="15.75" customHeight="1">
      <c r="A613" s="29"/>
      <c r="B613" s="16"/>
      <c r="C613" s="29"/>
      <c r="D613" s="29"/>
      <c r="E613" s="29"/>
      <c r="F613" s="29"/>
      <c r="G613" s="29"/>
      <c r="H613" s="41"/>
      <c r="I613" s="41"/>
      <c r="J613" s="51"/>
      <c r="K613" s="29"/>
      <c r="L613" s="29"/>
      <c r="M613" s="29"/>
      <c r="N613" s="29"/>
      <c r="O613" s="52"/>
      <c r="P613" s="52"/>
      <c r="Q613" s="52"/>
      <c r="R613" s="53"/>
      <c r="S613" s="52"/>
      <c r="T613" s="52"/>
      <c r="U613" s="29"/>
      <c r="V613" s="54"/>
      <c r="W613" s="54"/>
    </row>
    <row r="614" ht="15.75" customHeight="1">
      <c r="A614" s="29"/>
      <c r="B614" s="16"/>
      <c r="C614" s="29"/>
      <c r="D614" s="29"/>
      <c r="E614" s="29"/>
      <c r="F614" s="29"/>
      <c r="G614" s="29"/>
      <c r="H614" s="41"/>
      <c r="I614" s="41"/>
      <c r="J614" s="51"/>
      <c r="K614" s="29"/>
      <c r="L614" s="29"/>
      <c r="M614" s="29"/>
      <c r="N614" s="29"/>
      <c r="O614" s="52"/>
      <c r="P614" s="52"/>
      <c r="Q614" s="52"/>
      <c r="R614" s="53"/>
      <c r="S614" s="52"/>
      <c r="T614" s="52"/>
      <c r="U614" s="29"/>
      <c r="V614" s="54"/>
      <c r="W614" s="54"/>
    </row>
    <row r="615" ht="15.75" customHeight="1">
      <c r="A615" s="29"/>
      <c r="B615" s="16"/>
      <c r="C615" s="29"/>
      <c r="D615" s="29"/>
      <c r="E615" s="29"/>
      <c r="F615" s="29"/>
      <c r="G615" s="29"/>
      <c r="H615" s="41"/>
      <c r="I615" s="41"/>
      <c r="J615" s="51"/>
      <c r="K615" s="29"/>
      <c r="L615" s="29"/>
      <c r="M615" s="29"/>
      <c r="N615" s="29"/>
      <c r="O615" s="52"/>
      <c r="P615" s="52"/>
      <c r="Q615" s="52"/>
      <c r="R615" s="53"/>
      <c r="S615" s="52"/>
      <c r="T615" s="52"/>
      <c r="U615" s="29"/>
      <c r="V615" s="54"/>
      <c r="W615" s="54"/>
    </row>
    <row r="616" ht="15.75" customHeight="1">
      <c r="A616" s="29"/>
      <c r="B616" s="16"/>
      <c r="C616" s="29"/>
      <c r="D616" s="29"/>
      <c r="E616" s="29"/>
      <c r="F616" s="29"/>
      <c r="G616" s="29"/>
      <c r="H616" s="41"/>
      <c r="I616" s="41"/>
      <c r="J616" s="51"/>
      <c r="K616" s="29"/>
      <c r="L616" s="29"/>
      <c r="M616" s="29"/>
      <c r="N616" s="29"/>
      <c r="O616" s="52"/>
      <c r="P616" s="52"/>
      <c r="Q616" s="52"/>
      <c r="R616" s="53"/>
      <c r="S616" s="52"/>
      <c r="T616" s="52"/>
      <c r="U616" s="29"/>
      <c r="V616" s="54"/>
      <c r="W616" s="54"/>
    </row>
    <row r="617" ht="15.75" customHeight="1">
      <c r="A617" s="29"/>
      <c r="B617" s="16"/>
      <c r="C617" s="29"/>
      <c r="D617" s="29"/>
      <c r="E617" s="29"/>
      <c r="F617" s="29"/>
      <c r="G617" s="29"/>
      <c r="H617" s="41"/>
      <c r="I617" s="41"/>
      <c r="J617" s="51"/>
      <c r="K617" s="29"/>
      <c r="L617" s="29"/>
      <c r="M617" s="29"/>
      <c r="N617" s="29"/>
      <c r="O617" s="52"/>
      <c r="P617" s="52"/>
      <c r="Q617" s="52"/>
      <c r="R617" s="53"/>
      <c r="S617" s="52"/>
      <c r="T617" s="52"/>
      <c r="U617" s="29"/>
      <c r="V617" s="54"/>
      <c r="W617" s="54"/>
    </row>
    <row r="618" ht="15.75" customHeight="1">
      <c r="A618" s="29"/>
      <c r="B618" s="16"/>
      <c r="C618" s="29"/>
      <c r="D618" s="29"/>
      <c r="E618" s="29"/>
      <c r="F618" s="29"/>
      <c r="G618" s="29"/>
      <c r="H618" s="41"/>
      <c r="I618" s="41"/>
      <c r="J618" s="51"/>
      <c r="K618" s="29"/>
      <c r="L618" s="29"/>
      <c r="M618" s="29"/>
      <c r="N618" s="29"/>
      <c r="O618" s="52"/>
      <c r="P618" s="52"/>
      <c r="Q618" s="52"/>
      <c r="R618" s="53"/>
      <c r="S618" s="52"/>
      <c r="T618" s="52"/>
      <c r="U618" s="29"/>
      <c r="V618" s="54"/>
      <c r="W618" s="54"/>
    </row>
    <row r="619" ht="15.75" customHeight="1">
      <c r="A619" s="29"/>
      <c r="B619" s="16"/>
      <c r="C619" s="29"/>
      <c r="D619" s="29"/>
      <c r="E619" s="29"/>
      <c r="F619" s="29"/>
      <c r="G619" s="29"/>
      <c r="H619" s="41"/>
      <c r="I619" s="41"/>
      <c r="J619" s="51"/>
      <c r="K619" s="29"/>
      <c r="L619" s="29"/>
      <c r="M619" s="29"/>
      <c r="N619" s="29"/>
      <c r="O619" s="52"/>
      <c r="P619" s="52"/>
      <c r="Q619" s="52"/>
      <c r="R619" s="53"/>
      <c r="S619" s="52"/>
      <c r="T619" s="52"/>
      <c r="U619" s="29"/>
      <c r="V619" s="54"/>
      <c r="W619" s="54"/>
    </row>
    <row r="620" ht="15.75" customHeight="1">
      <c r="A620" s="29"/>
      <c r="B620" s="16"/>
      <c r="C620" s="29"/>
      <c r="D620" s="29"/>
      <c r="E620" s="29"/>
      <c r="F620" s="29"/>
      <c r="G620" s="29"/>
      <c r="H620" s="41"/>
      <c r="I620" s="41"/>
      <c r="J620" s="51"/>
      <c r="K620" s="29"/>
      <c r="L620" s="29"/>
      <c r="M620" s="29"/>
      <c r="N620" s="29"/>
      <c r="O620" s="52"/>
      <c r="P620" s="52"/>
      <c r="Q620" s="52"/>
      <c r="R620" s="53"/>
      <c r="S620" s="52"/>
      <c r="T620" s="52"/>
      <c r="U620" s="29"/>
      <c r="V620" s="54"/>
      <c r="W620" s="54"/>
    </row>
    <row r="621" ht="15.75" customHeight="1">
      <c r="A621" s="29"/>
      <c r="B621" s="16"/>
      <c r="C621" s="29"/>
      <c r="D621" s="29"/>
      <c r="E621" s="29"/>
      <c r="F621" s="29"/>
      <c r="G621" s="29"/>
      <c r="H621" s="41"/>
      <c r="I621" s="41"/>
      <c r="J621" s="51"/>
      <c r="K621" s="29"/>
      <c r="L621" s="29"/>
      <c r="M621" s="29"/>
      <c r="N621" s="29"/>
      <c r="O621" s="52"/>
      <c r="P621" s="52"/>
      <c r="Q621" s="52"/>
      <c r="R621" s="53"/>
      <c r="S621" s="52"/>
      <c r="T621" s="52"/>
      <c r="U621" s="29"/>
      <c r="V621" s="54"/>
      <c r="W621" s="54"/>
    </row>
    <row r="622" ht="15.75" customHeight="1">
      <c r="A622" s="29"/>
      <c r="B622" s="16"/>
      <c r="C622" s="29"/>
      <c r="D622" s="29"/>
      <c r="E622" s="29"/>
      <c r="F622" s="29"/>
      <c r="G622" s="29"/>
      <c r="H622" s="41"/>
      <c r="I622" s="41"/>
      <c r="J622" s="51"/>
      <c r="K622" s="29"/>
      <c r="L622" s="29"/>
      <c r="M622" s="29"/>
      <c r="N622" s="29"/>
      <c r="O622" s="52"/>
      <c r="P622" s="52"/>
      <c r="Q622" s="52"/>
      <c r="R622" s="53"/>
      <c r="S622" s="52"/>
      <c r="T622" s="52"/>
      <c r="U622" s="29"/>
      <c r="V622" s="54"/>
      <c r="W622" s="54"/>
    </row>
    <row r="623" ht="15.75" customHeight="1">
      <c r="A623" s="29"/>
      <c r="B623" s="16"/>
      <c r="C623" s="29"/>
      <c r="D623" s="29"/>
      <c r="E623" s="29"/>
      <c r="F623" s="29"/>
      <c r="G623" s="29"/>
      <c r="H623" s="41"/>
      <c r="I623" s="41"/>
      <c r="J623" s="51"/>
      <c r="K623" s="29"/>
      <c r="L623" s="29"/>
      <c r="M623" s="29"/>
      <c r="N623" s="29"/>
      <c r="O623" s="52"/>
      <c r="P623" s="52"/>
      <c r="Q623" s="52"/>
      <c r="R623" s="53"/>
      <c r="S623" s="52"/>
      <c r="T623" s="52"/>
      <c r="U623" s="29"/>
      <c r="V623" s="54"/>
      <c r="W623" s="54"/>
    </row>
    <row r="624" ht="15.75" customHeight="1">
      <c r="A624" s="29"/>
      <c r="B624" s="16"/>
      <c r="C624" s="29"/>
      <c r="D624" s="29"/>
      <c r="E624" s="29"/>
      <c r="F624" s="29"/>
      <c r="G624" s="29"/>
      <c r="H624" s="41"/>
      <c r="I624" s="41"/>
      <c r="J624" s="51"/>
      <c r="K624" s="29"/>
      <c r="L624" s="29"/>
      <c r="M624" s="29"/>
      <c r="N624" s="29"/>
      <c r="O624" s="52"/>
      <c r="P624" s="52"/>
      <c r="Q624" s="52"/>
      <c r="R624" s="53"/>
      <c r="S624" s="52"/>
      <c r="T624" s="52"/>
      <c r="U624" s="29"/>
      <c r="V624" s="54"/>
      <c r="W624" s="54"/>
    </row>
    <row r="625" ht="15.75" customHeight="1">
      <c r="A625" s="29"/>
      <c r="B625" s="16"/>
      <c r="C625" s="29"/>
      <c r="D625" s="29"/>
      <c r="E625" s="29"/>
      <c r="F625" s="29"/>
      <c r="G625" s="29"/>
      <c r="H625" s="41"/>
      <c r="I625" s="41"/>
      <c r="J625" s="51"/>
      <c r="K625" s="29"/>
      <c r="L625" s="29"/>
      <c r="M625" s="29"/>
      <c r="N625" s="29"/>
      <c r="O625" s="52"/>
      <c r="P625" s="52"/>
      <c r="Q625" s="52"/>
      <c r="R625" s="53"/>
      <c r="S625" s="52"/>
      <c r="T625" s="52"/>
      <c r="U625" s="29"/>
      <c r="V625" s="54"/>
      <c r="W625" s="54"/>
    </row>
    <row r="626" ht="15.75" customHeight="1">
      <c r="A626" s="29"/>
      <c r="B626" s="16"/>
      <c r="C626" s="29"/>
      <c r="D626" s="29"/>
      <c r="E626" s="29"/>
      <c r="F626" s="29"/>
      <c r="G626" s="29"/>
      <c r="H626" s="41"/>
      <c r="I626" s="41"/>
      <c r="J626" s="51"/>
      <c r="K626" s="29"/>
      <c r="L626" s="29"/>
      <c r="M626" s="29"/>
      <c r="N626" s="29"/>
      <c r="O626" s="52"/>
      <c r="P626" s="52"/>
      <c r="Q626" s="52"/>
      <c r="R626" s="53"/>
      <c r="S626" s="52"/>
      <c r="T626" s="52"/>
      <c r="U626" s="29"/>
      <c r="V626" s="54"/>
      <c r="W626" s="54"/>
    </row>
    <row r="627" ht="15.75" customHeight="1">
      <c r="A627" s="29"/>
      <c r="B627" s="16"/>
      <c r="C627" s="29"/>
      <c r="D627" s="29"/>
      <c r="E627" s="29"/>
      <c r="F627" s="29"/>
      <c r="G627" s="29"/>
      <c r="H627" s="41"/>
      <c r="I627" s="41"/>
      <c r="J627" s="51"/>
      <c r="K627" s="29"/>
      <c r="L627" s="29"/>
      <c r="M627" s="29"/>
      <c r="N627" s="29"/>
      <c r="O627" s="52"/>
      <c r="P627" s="52"/>
      <c r="Q627" s="52"/>
      <c r="R627" s="53"/>
      <c r="S627" s="52"/>
      <c r="T627" s="52"/>
      <c r="U627" s="29"/>
      <c r="V627" s="54"/>
      <c r="W627" s="54"/>
    </row>
    <row r="628" ht="15.75" customHeight="1">
      <c r="A628" s="29"/>
      <c r="B628" s="16"/>
      <c r="C628" s="29"/>
      <c r="D628" s="29"/>
      <c r="E628" s="29"/>
      <c r="F628" s="29"/>
      <c r="G628" s="29"/>
      <c r="H628" s="41"/>
      <c r="I628" s="41"/>
      <c r="J628" s="51"/>
      <c r="K628" s="29"/>
      <c r="L628" s="29"/>
      <c r="M628" s="29"/>
      <c r="N628" s="29"/>
      <c r="O628" s="52"/>
      <c r="P628" s="52"/>
      <c r="Q628" s="52"/>
      <c r="R628" s="53"/>
      <c r="S628" s="52"/>
      <c r="T628" s="52"/>
      <c r="U628" s="29"/>
      <c r="V628" s="54"/>
      <c r="W628" s="54"/>
    </row>
    <row r="629" ht="15.75" customHeight="1">
      <c r="A629" s="29"/>
      <c r="B629" s="16"/>
      <c r="C629" s="29"/>
      <c r="D629" s="29"/>
      <c r="E629" s="29"/>
      <c r="F629" s="29"/>
      <c r="G629" s="29"/>
      <c r="H629" s="41"/>
      <c r="I629" s="41"/>
      <c r="J629" s="51"/>
      <c r="K629" s="29"/>
      <c r="L629" s="29"/>
      <c r="M629" s="29"/>
      <c r="N629" s="29"/>
      <c r="O629" s="52"/>
      <c r="P629" s="52"/>
      <c r="Q629" s="52"/>
      <c r="R629" s="53"/>
      <c r="S629" s="52"/>
      <c r="T629" s="52"/>
      <c r="U629" s="29"/>
      <c r="V629" s="54"/>
      <c r="W629" s="54"/>
    </row>
    <row r="630" ht="15.75" customHeight="1">
      <c r="A630" s="29"/>
      <c r="B630" s="16"/>
      <c r="C630" s="29"/>
      <c r="D630" s="29"/>
      <c r="E630" s="29"/>
      <c r="F630" s="29"/>
      <c r="G630" s="29"/>
      <c r="H630" s="41"/>
      <c r="I630" s="41"/>
      <c r="J630" s="51"/>
      <c r="K630" s="29"/>
      <c r="L630" s="29"/>
      <c r="M630" s="29"/>
      <c r="N630" s="29"/>
      <c r="O630" s="52"/>
      <c r="P630" s="52"/>
      <c r="Q630" s="52"/>
      <c r="R630" s="53"/>
      <c r="S630" s="52"/>
      <c r="T630" s="52"/>
      <c r="U630" s="29"/>
      <c r="V630" s="54"/>
      <c r="W630" s="54"/>
    </row>
    <row r="631" ht="15.75" customHeight="1">
      <c r="A631" s="29"/>
      <c r="B631" s="16"/>
      <c r="C631" s="29"/>
      <c r="D631" s="29"/>
      <c r="E631" s="29"/>
      <c r="F631" s="29"/>
      <c r="G631" s="29"/>
      <c r="H631" s="41"/>
      <c r="I631" s="41"/>
      <c r="J631" s="51"/>
      <c r="K631" s="29"/>
      <c r="L631" s="29"/>
      <c r="M631" s="29"/>
      <c r="N631" s="29"/>
      <c r="O631" s="52"/>
      <c r="P631" s="52"/>
      <c r="Q631" s="52"/>
      <c r="R631" s="53"/>
      <c r="S631" s="52"/>
      <c r="T631" s="52"/>
      <c r="U631" s="29"/>
      <c r="V631" s="54"/>
      <c r="W631" s="54"/>
    </row>
    <row r="632" ht="15.75" customHeight="1">
      <c r="A632" s="29"/>
      <c r="B632" s="16"/>
      <c r="C632" s="29"/>
      <c r="D632" s="29"/>
      <c r="E632" s="29"/>
      <c r="F632" s="29"/>
      <c r="G632" s="29"/>
      <c r="H632" s="41"/>
      <c r="I632" s="41"/>
      <c r="J632" s="51"/>
      <c r="K632" s="29"/>
      <c r="L632" s="29"/>
      <c r="M632" s="29"/>
      <c r="N632" s="29"/>
      <c r="O632" s="52"/>
      <c r="P632" s="52"/>
      <c r="Q632" s="52"/>
      <c r="R632" s="53"/>
      <c r="S632" s="52"/>
      <c r="T632" s="52"/>
      <c r="U632" s="29"/>
      <c r="V632" s="54"/>
      <c r="W632" s="54"/>
    </row>
    <row r="633" ht="15.75" customHeight="1">
      <c r="A633" s="29"/>
      <c r="B633" s="16"/>
      <c r="C633" s="29"/>
      <c r="D633" s="29"/>
      <c r="E633" s="29"/>
      <c r="F633" s="29"/>
      <c r="G633" s="29"/>
      <c r="H633" s="41"/>
      <c r="I633" s="41"/>
      <c r="J633" s="51"/>
      <c r="K633" s="29"/>
      <c r="L633" s="29"/>
      <c r="M633" s="29"/>
      <c r="N633" s="29"/>
      <c r="O633" s="52"/>
      <c r="P633" s="52"/>
      <c r="Q633" s="52"/>
      <c r="R633" s="53"/>
      <c r="S633" s="52"/>
      <c r="T633" s="52"/>
      <c r="U633" s="29"/>
      <c r="V633" s="54"/>
      <c r="W633" s="54"/>
    </row>
    <row r="634" ht="15.75" customHeight="1">
      <c r="A634" s="29"/>
      <c r="B634" s="16"/>
      <c r="C634" s="29"/>
      <c r="D634" s="29"/>
      <c r="E634" s="29"/>
      <c r="F634" s="29"/>
      <c r="G634" s="29"/>
      <c r="H634" s="41"/>
      <c r="I634" s="41"/>
      <c r="J634" s="51"/>
      <c r="K634" s="29"/>
      <c r="L634" s="29"/>
      <c r="M634" s="29"/>
      <c r="N634" s="29"/>
      <c r="O634" s="52"/>
      <c r="P634" s="52"/>
      <c r="Q634" s="52"/>
      <c r="R634" s="53"/>
      <c r="S634" s="52"/>
      <c r="T634" s="52"/>
      <c r="U634" s="29"/>
      <c r="V634" s="54"/>
      <c r="W634" s="54"/>
    </row>
    <row r="635" ht="15.75" customHeight="1">
      <c r="A635" s="29"/>
      <c r="B635" s="16"/>
      <c r="C635" s="29"/>
      <c r="D635" s="29"/>
      <c r="E635" s="29"/>
      <c r="F635" s="29"/>
      <c r="G635" s="29"/>
      <c r="H635" s="41"/>
      <c r="I635" s="41"/>
      <c r="J635" s="51"/>
      <c r="K635" s="29"/>
      <c r="L635" s="29"/>
      <c r="M635" s="29"/>
      <c r="N635" s="29"/>
      <c r="O635" s="52"/>
      <c r="P635" s="52"/>
      <c r="Q635" s="52"/>
      <c r="R635" s="53"/>
      <c r="S635" s="52"/>
      <c r="T635" s="52"/>
      <c r="U635" s="29"/>
      <c r="V635" s="54"/>
      <c r="W635" s="54"/>
    </row>
    <row r="636" ht="15.75" customHeight="1">
      <c r="A636" s="29"/>
      <c r="B636" s="16"/>
      <c r="C636" s="29"/>
      <c r="D636" s="29"/>
      <c r="E636" s="29"/>
      <c r="F636" s="29"/>
      <c r="G636" s="29"/>
      <c r="H636" s="41"/>
      <c r="I636" s="41"/>
      <c r="J636" s="51"/>
      <c r="K636" s="29"/>
      <c r="L636" s="29"/>
      <c r="M636" s="29"/>
      <c r="N636" s="29"/>
      <c r="O636" s="52"/>
      <c r="P636" s="52"/>
      <c r="Q636" s="52"/>
      <c r="R636" s="53"/>
      <c r="S636" s="52"/>
      <c r="T636" s="52"/>
      <c r="U636" s="29"/>
      <c r="V636" s="54"/>
      <c r="W636" s="54"/>
    </row>
    <row r="637" ht="15.75" customHeight="1">
      <c r="A637" s="29"/>
      <c r="B637" s="16"/>
      <c r="C637" s="29"/>
      <c r="D637" s="29"/>
      <c r="E637" s="29"/>
      <c r="F637" s="29"/>
      <c r="G637" s="29"/>
      <c r="H637" s="41"/>
      <c r="I637" s="41"/>
      <c r="J637" s="51"/>
      <c r="K637" s="29"/>
      <c r="L637" s="29"/>
      <c r="M637" s="29"/>
      <c r="N637" s="29"/>
      <c r="O637" s="52"/>
      <c r="P637" s="52"/>
      <c r="Q637" s="52"/>
      <c r="R637" s="53"/>
      <c r="S637" s="52"/>
      <c r="T637" s="52"/>
      <c r="U637" s="29"/>
      <c r="V637" s="54"/>
      <c r="W637" s="54"/>
    </row>
    <row r="638" ht="15.75" customHeight="1">
      <c r="A638" s="29"/>
      <c r="B638" s="16"/>
      <c r="C638" s="29"/>
      <c r="D638" s="29"/>
      <c r="E638" s="29"/>
      <c r="F638" s="29"/>
      <c r="G638" s="29"/>
      <c r="H638" s="41"/>
      <c r="I638" s="41"/>
      <c r="J638" s="51"/>
      <c r="K638" s="29"/>
      <c r="L638" s="29"/>
      <c r="M638" s="29"/>
      <c r="N638" s="29"/>
      <c r="O638" s="52"/>
      <c r="P638" s="52"/>
      <c r="Q638" s="52"/>
      <c r="R638" s="53"/>
      <c r="S638" s="52"/>
      <c r="T638" s="52"/>
      <c r="U638" s="29"/>
      <c r="V638" s="54"/>
      <c r="W638" s="54"/>
    </row>
    <row r="639" ht="15.75" customHeight="1">
      <c r="A639" s="29"/>
      <c r="B639" s="16"/>
      <c r="C639" s="29"/>
      <c r="D639" s="29"/>
      <c r="E639" s="29"/>
      <c r="F639" s="29"/>
      <c r="G639" s="29"/>
      <c r="H639" s="41"/>
      <c r="I639" s="41"/>
      <c r="J639" s="51"/>
      <c r="K639" s="29"/>
      <c r="L639" s="29"/>
      <c r="M639" s="29"/>
      <c r="N639" s="29"/>
      <c r="O639" s="52"/>
      <c r="P639" s="52"/>
      <c r="Q639" s="52"/>
      <c r="R639" s="53"/>
      <c r="S639" s="52"/>
      <c r="T639" s="52"/>
      <c r="U639" s="29"/>
      <c r="V639" s="54"/>
      <c r="W639" s="54"/>
    </row>
    <row r="640" ht="15.75" customHeight="1">
      <c r="A640" s="29"/>
      <c r="B640" s="16"/>
      <c r="C640" s="29"/>
      <c r="D640" s="29"/>
      <c r="E640" s="29"/>
      <c r="F640" s="29"/>
      <c r="G640" s="29"/>
      <c r="H640" s="41"/>
      <c r="I640" s="41"/>
      <c r="J640" s="51"/>
      <c r="K640" s="29"/>
      <c r="L640" s="29"/>
      <c r="M640" s="29"/>
      <c r="N640" s="29"/>
      <c r="O640" s="52"/>
      <c r="P640" s="52"/>
      <c r="Q640" s="52"/>
      <c r="R640" s="53"/>
      <c r="S640" s="52"/>
      <c r="T640" s="52"/>
      <c r="U640" s="29"/>
      <c r="V640" s="54"/>
      <c r="W640" s="54"/>
    </row>
    <row r="641" ht="15.75" customHeight="1">
      <c r="A641" s="29"/>
      <c r="B641" s="16"/>
      <c r="C641" s="29"/>
      <c r="D641" s="29"/>
      <c r="E641" s="29"/>
      <c r="F641" s="29"/>
      <c r="G641" s="29"/>
      <c r="H641" s="41"/>
      <c r="I641" s="41"/>
      <c r="J641" s="51"/>
      <c r="K641" s="29"/>
      <c r="L641" s="29"/>
      <c r="M641" s="29"/>
      <c r="N641" s="29"/>
      <c r="O641" s="52"/>
      <c r="P641" s="52"/>
      <c r="Q641" s="52"/>
      <c r="R641" s="53"/>
      <c r="S641" s="52"/>
      <c r="T641" s="52"/>
      <c r="U641" s="29"/>
      <c r="V641" s="54"/>
      <c r="W641" s="54"/>
    </row>
    <row r="642" ht="15.75" customHeight="1">
      <c r="A642" s="29"/>
      <c r="B642" s="16"/>
      <c r="C642" s="29"/>
      <c r="D642" s="29"/>
      <c r="E642" s="29"/>
      <c r="F642" s="29"/>
      <c r="G642" s="29"/>
      <c r="H642" s="41"/>
      <c r="I642" s="41"/>
      <c r="J642" s="51"/>
      <c r="K642" s="29"/>
      <c r="L642" s="29"/>
      <c r="M642" s="29"/>
      <c r="N642" s="29"/>
      <c r="O642" s="52"/>
      <c r="P642" s="52"/>
      <c r="Q642" s="52"/>
      <c r="R642" s="53"/>
      <c r="S642" s="52"/>
      <c r="T642" s="52"/>
      <c r="U642" s="29"/>
      <c r="V642" s="54"/>
      <c r="W642" s="54"/>
    </row>
    <row r="643" ht="15.75" customHeight="1">
      <c r="A643" s="29"/>
      <c r="B643" s="16"/>
      <c r="C643" s="29"/>
      <c r="D643" s="29"/>
      <c r="E643" s="29"/>
      <c r="F643" s="29"/>
      <c r="G643" s="29"/>
      <c r="H643" s="41"/>
      <c r="I643" s="41"/>
      <c r="J643" s="51"/>
      <c r="K643" s="29"/>
      <c r="L643" s="29"/>
      <c r="M643" s="29"/>
      <c r="N643" s="29"/>
      <c r="O643" s="52"/>
      <c r="P643" s="52"/>
      <c r="Q643" s="52"/>
      <c r="R643" s="53"/>
      <c r="S643" s="52"/>
      <c r="T643" s="52"/>
      <c r="U643" s="29"/>
      <c r="V643" s="54"/>
      <c r="W643" s="54"/>
    </row>
    <row r="644" ht="15.75" customHeight="1">
      <c r="A644" s="29"/>
      <c r="B644" s="16"/>
      <c r="C644" s="29"/>
      <c r="D644" s="29"/>
      <c r="E644" s="29"/>
      <c r="F644" s="29"/>
      <c r="G644" s="29"/>
      <c r="H644" s="41"/>
      <c r="I644" s="41"/>
      <c r="J644" s="51"/>
      <c r="K644" s="29"/>
      <c r="L644" s="29"/>
      <c r="M644" s="29"/>
      <c r="N644" s="29"/>
      <c r="O644" s="52"/>
      <c r="P644" s="52"/>
      <c r="Q644" s="52"/>
      <c r="R644" s="53"/>
      <c r="S644" s="52"/>
      <c r="T644" s="52"/>
      <c r="U644" s="29"/>
      <c r="V644" s="54"/>
      <c r="W644" s="54"/>
    </row>
    <row r="645" ht="15.75" customHeight="1">
      <c r="A645" s="29"/>
      <c r="B645" s="16"/>
      <c r="C645" s="29"/>
      <c r="D645" s="29"/>
      <c r="E645" s="29"/>
      <c r="F645" s="29"/>
      <c r="G645" s="29"/>
      <c r="H645" s="41"/>
      <c r="I645" s="41"/>
      <c r="J645" s="51"/>
      <c r="K645" s="29"/>
      <c r="L645" s="29"/>
      <c r="M645" s="29"/>
      <c r="N645" s="29"/>
      <c r="O645" s="52"/>
      <c r="P645" s="52"/>
      <c r="Q645" s="52"/>
      <c r="R645" s="53"/>
      <c r="S645" s="52"/>
      <c r="T645" s="52"/>
      <c r="U645" s="29"/>
      <c r="V645" s="54"/>
      <c r="W645" s="54"/>
    </row>
    <row r="646" ht="15.75" customHeight="1">
      <c r="A646" s="29"/>
      <c r="B646" s="16"/>
      <c r="C646" s="29"/>
      <c r="D646" s="29"/>
      <c r="E646" s="29"/>
      <c r="F646" s="29"/>
      <c r="G646" s="29"/>
      <c r="H646" s="41"/>
      <c r="I646" s="41"/>
      <c r="J646" s="51"/>
      <c r="K646" s="29"/>
      <c r="L646" s="29"/>
      <c r="M646" s="29"/>
      <c r="N646" s="29"/>
      <c r="O646" s="52"/>
      <c r="P646" s="52"/>
      <c r="Q646" s="52"/>
      <c r="R646" s="53"/>
      <c r="S646" s="52"/>
      <c r="T646" s="52"/>
      <c r="U646" s="29"/>
      <c r="V646" s="54"/>
      <c r="W646" s="54"/>
    </row>
    <row r="647" ht="15.75" customHeight="1">
      <c r="A647" s="29"/>
      <c r="B647" s="16"/>
      <c r="C647" s="29"/>
      <c r="D647" s="29"/>
      <c r="E647" s="29"/>
      <c r="F647" s="29"/>
      <c r="G647" s="29"/>
      <c r="H647" s="41"/>
      <c r="I647" s="41"/>
      <c r="J647" s="51"/>
      <c r="K647" s="29"/>
      <c r="L647" s="29"/>
      <c r="M647" s="29"/>
      <c r="N647" s="29"/>
      <c r="O647" s="52"/>
      <c r="P647" s="52"/>
      <c r="Q647" s="52"/>
      <c r="R647" s="53"/>
      <c r="S647" s="52"/>
      <c r="T647" s="52"/>
      <c r="U647" s="29"/>
      <c r="V647" s="54"/>
      <c r="W647" s="54"/>
    </row>
    <row r="648" ht="15.75" customHeight="1">
      <c r="A648" s="29"/>
      <c r="B648" s="16"/>
      <c r="C648" s="29"/>
      <c r="D648" s="29"/>
      <c r="E648" s="29"/>
      <c r="F648" s="29"/>
      <c r="G648" s="29"/>
      <c r="H648" s="41"/>
      <c r="I648" s="41"/>
      <c r="J648" s="51"/>
      <c r="K648" s="29"/>
      <c r="L648" s="29"/>
      <c r="M648" s="29"/>
      <c r="N648" s="29"/>
      <c r="O648" s="52"/>
      <c r="P648" s="52"/>
      <c r="Q648" s="52"/>
      <c r="R648" s="53"/>
      <c r="S648" s="52"/>
      <c r="T648" s="52"/>
      <c r="U648" s="29"/>
      <c r="V648" s="54"/>
      <c r="W648" s="54"/>
    </row>
    <row r="649" ht="15.75" customHeight="1">
      <c r="A649" s="29"/>
      <c r="B649" s="16"/>
      <c r="C649" s="29"/>
      <c r="D649" s="29"/>
      <c r="E649" s="29"/>
      <c r="F649" s="29"/>
      <c r="G649" s="29"/>
      <c r="H649" s="41"/>
      <c r="I649" s="41"/>
      <c r="J649" s="51"/>
      <c r="K649" s="29"/>
      <c r="L649" s="29"/>
      <c r="M649" s="29"/>
      <c r="N649" s="29"/>
      <c r="O649" s="52"/>
      <c r="P649" s="52"/>
      <c r="Q649" s="52"/>
      <c r="R649" s="53"/>
      <c r="S649" s="52"/>
      <c r="T649" s="52"/>
      <c r="U649" s="29"/>
      <c r="V649" s="54"/>
      <c r="W649" s="54"/>
    </row>
    <row r="650" ht="15.75" customHeight="1">
      <c r="A650" s="29"/>
      <c r="B650" s="16"/>
      <c r="C650" s="29"/>
      <c r="D650" s="29"/>
      <c r="E650" s="29"/>
      <c r="F650" s="29"/>
      <c r="G650" s="29"/>
      <c r="H650" s="41"/>
      <c r="I650" s="41"/>
      <c r="J650" s="51"/>
      <c r="K650" s="29"/>
      <c r="L650" s="29"/>
      <c r="M650" s="29"/>
      <c r="N650" s="29"/>
      <c r="O650" s="52"/>
      <c r="P650" s="52"/>
      <c r="Q650" s="52"/>
      <c r="R650" s="53"/>
      <c r="S650" s="52"/>
      <c r="T650" s="52"/>
      <c r="U650" s="29"/>
      <c r="V650" s="54"/>
      <c r="W650" s="54"/>
    </row>
    <row r="651" ht="15.75" customHeight="1">
      <c r="A651" s="29"/>
      <c r="B651" s="16"/>
      <c r="C651" s="29"/>
      <c r="D651" s="29"/>
      <c r="E651" s="29"/>
      <c r="F651" s="29"/>
      <c r="G651" s="29"/>
      <c r="H651" s="41"/>
      <c r="I651" s="41"/>
      <c r="J651" s="51"/>
      <c r="K651" s="29"/>
      <c r="L651" s="29"/>
      <c r="M651" s="29"/>
      <c r="N651" s="29"/>
      <c r="O651" s="52"/>
      <c r="P651" s="52"/>
      <c r="Q651" s="52"/>
      <c r="R651" s="53"/>
      <c r="S651" s="52"/>
      <c r="T651" s="52"/>
      <c r="U651" s="29"/>
      <c r="V651" s="54"/>
      <c r="W651" s="54"/>
    </row>
    <row r="652" ht="15.75" customHeight="1">
      <c r="A652" s="29"/>
      <c r="B652" s="16"/>
      <c r="C652" s="29"/>
      <c r="D652" s="29"/>
      <c r="E652" s="29"/>
      <c r="F652" s="29"/>
      <c r="G652" s="29"/>
      <c r="H652" s="41"/>
      <c r="I652" s="41"/>
      <c r="J652" s="51"/>
      <c r="K652" s="29"/>
      <c r="L652" s="29"/>
      <c r="M652" s="29"/>
      <c r="N652" s="29"/>
      <c r="O652" s="52"/>
      <c r="P652" s="52"/>
      <c r="Q652" s="52"/>
      <c r="R652" s="53"/>
      <c r="S652" s="52"/>
      <c r="T652" s="52"/>
      <c r="U652" s="29"/>
      <c r="V652" s="54"/>
      <c r="W652" s="54"/>
    </row>
    <row r="653" ht="15.75" customHeight="1">
      <c r="A653" s="29"/>
      <c r="B653" s="16"/>
      <c r="C653" s="29"/>
      <c r="D653" s="29"/>
      <c r="E653" s="29"/>
      <c r="F653" s="29"/>
      <c r="G653" s="29"/>
      <c r="H653" s="41"/>
      <c r="I653" s="41"/>
      <c r="J653" s="51"/>
      <c r="K653" s="29"/>
      <c r="L653" s="29"/>
      <c r="M653" s="29"/>
      <c r="N653" s="29"/>
      <c r="O653" s="52"/>
      <c r="P653" s="52"/>
      <c r="Q653" s="52"/>
      <c r="R653" s="53"/>
      <c r="S653" s="52"/>
      <c r="T653" s="52"/>
      <c r="U653" s="29"/>
      <c r="V653" s="54"/>
      <c r="W653" s="54"/>
    </row>
    <row r="654" ht="15.75" customHeight="1">
      <c r="A654" s="29"/>
      <c r="B654" s="16"/>
      <c r="C654" s="29"/>
      <c r="D654" s="29"/>
      <c r="E654" s="29"/>
      <c r="F654" s="29"/>
      <c r="G654" s="29"/>
      <c r="H654" s="41"/>
      <c r="I654" s="41"/>
      <c r="J654" s="51"/>
      <c r="K654" s="29"/>
      <c r="L654" s="29"/>
      <c r="M654" s="29"/>
      <c r="N654" s="29"/>
      <c r="O654" s="52"/>
      <c r="P654" s="52"/>
      <c r="Q654" s="52"/>
      <c r="R654" s="53"/>
      <c r="S654" s="52"/>
      <c r="T654" s="52"/>
      <c r="U654" s="29"/>
      <c r="V654" s="54"/>
      <c r="W654" s="54"/>
    </row>
    <row r="655" ht="15.75" customHeight="1">
      <c r="A655" s="29"/>
      <c r="B655" s="16"/>
      <c r="C655" s="29"/>
      <c r="D655" s="29"/>
      <c r="E655" s="29"/>
      <c r="F655" s="29"/>
      <c r="G655" s="29"/>
      <c r="H655" s="41"/>
      <c r="I655" s="41"/>
      <c r="J655" s="51"/>
      <c r="K655" s="29"/>
      <c r="L655" s="29"/>
      <c r="M655" s="29"/>
      <c r="N655" s="29"/>
      <c r="O655" s="52"/>
      <c r="P655" s="52"/>
      <c r="Q655" s="52"/>
      <c r="R655" s="53"/>
      <c r="S655" s="52"/>
      <c r="T655" s="52"/>
      <c r="U655" s="29"/>
      <c r="V655" s="54"/>
      <c r="W655" s="54"/>
    </row>
    <row r="656" ht="15.75" customHeight="1">
      <c r="A656" s="29"/>
      <c r="B656" s="16"/>
      <c r="C656" s="29"/>
      <c r="D656" s="29"/>
      <c r="E656" s="29"/>
      <c r="F656" s="29"/>
      <c r="G656" s="29"/>
      <c r="H656" s="41"/>
      <c r="I656" s="41"/>
      <c r="J656" s="51"/>
      <c r="K656" s="29"/>
      <c r="L656" s="29"/>
      <c r="M656" s="29"/>
      <c r="N656" s="29"/>
      <c r="O656" s="52"/>
      <c r="P656" s="52"/>
      <c r="Q656" s="52"/>
      <c r="R656" s="53"/>
      <c r="S656" s="52"/>
      <c r="T656" s="52"/>
      <c r="U656" s="29"/>
      <c r="V656" s="54"/>
      <c r="W656" s="54"/>
    </row>
    <row r="657" ht="15.75" customHeight="1">
      <c r="A657" s="29"/>
      <c r="B657" s="16"/>
      <c r="C657" s="29"/>
      <c r="D657" s="29"/>
      <c r="E657" s="29"/>
      <c r="F657" s="29"/>
      <c r="G657" s="29"/>
      <c r="H657" s="41"/>
      <c r="I657" s="41"/>
      <c r="J657" s="51"/>
      <c r="K657" s="29"/>
      <c r="L657" s="29"/>
      <c r="M657" s="29"/>
      <c r="N657" s="29"/>
      <c r="O657" s="52"/>
      <c r="P657" s="52"/>
      <c r="Q657" s="52"/>
      <c r="R657" s="53"/>
      <c r="S657" s="52"/>
      <c r="T657" s="52"/>
      <c r="U657" s="29"/>
      <c r="V657" s="54"/>
      <c r="W657" s="54"/>
    </row>
    <row r="658" ht="15.75" customHeight="1">
      <c r="A658" s="29"/>
      <c r="B658" s="16"/>
      <c r="C658" s="29"/>
      <c r="D658" s="29"/>
      <c r="E658" s="29"/>
      <c r="F658" s="29"/>
      <c r="G658" s="29"/>
      <c r="H658" s="41"/>
      <c r="I658" s="41"/>
      <c r="J658" s="51"/>
      <c r="K658" s="29"/>
      <c r="L658" s="29"/>
      <c r="M658" s="29"/>
      <c r="N658" s="29"/>
      <c r="O658" s="52"/>
      <c r="P658" s="52"/>
      <c r="Q658" s="52"/>
      <c r="R658" s="53"/>
      <c r="S658" s="52"/>
      <c r="T658" s="52"/>
      <c r="U658" s="29"/>
      <c r="V658" s="54"/>
      <c r="W658" s="54"/>
    </row>
    <row r="659" ht="15.75" customHeight="1">
      <c r="A659" s="29"/>
      <c r="B659" s="16"/>
      <c r="C659" s="29"/>
      <c r="D659" s="29"/>
      <c r="E659" s="29"/>
      <c r="F659" s="29"/>
      <c r="G659" s="29"/>
      <c r="H659" s="41"/>
      <c r="I659" s="41"/>
      <c r="J659" s="51"/>
      <c r="K659" s="29"/>
      <c r="L659" s="29"/>
      <c r="M659" s="29"/>
      <c r="N659" s="29"/>
      <c r="O659" s="52"/>
      <c r="P659" s="52"/>
      <c r="Q659" s="52"/>
      <c r="R659" s="53"/>
      <c r="S659" s="52"/>
      <c r="T659" s="52"/>
      <c r="U659" s="29"/>
      <c r="V659" s="54"/>
      <c r="W659" s="54"/>
    </row>
    <row r="660" ht="15.75" customHeight="1">
      <c r="A660" s="29"/>
      <c r="B660" s="16"/>
      <c r="C660" s="29"/>
      <c r="D660" s="29"/>
      <c r="E660" s="29"/>
      <c r="F660" s="29"/>
      <c r="G660" s="29"/>
      <c r="H660" s="41"/>
      <c r="I660" s="41"/>
      <c r="J660" s="51"/>
      <c r="K660" s="29"/>
      <c r="L660" s="29"/>
      <c r="M660" s="29"/>
      <c r="N660" s="29"/>
      <c r="O660" s="52"/>
      <c r="P660" s="52"/>
      <c r="Q660" s="52"/>
      <c r="R660" s="53"/>
      <c r="S660" s="52"/>
      <c r="T660" s="52"/>
      <c r="U660" s="29"/>
      <c r="V660" s="54"/>
      <c r="W660" s="54"/>
    </row>
    <row r="661" ht="15.75" customHeight="1">
      <c r="A661" s="29"/>
      <c r="B661" s="16"/>
      <c r="C661" s="29"/>
      <c r="D661" s="29"/>
      <c r="E661" s="29"/>
      <c r="F661" s="29"/>
      <c r="G661" s="29"/>
      <c r="H661" s="41"/>
      <c r="I661" s="41"/>
      <c r="J661" s="51"/>
      <c r="K661" s="29"/>
      <c r="L661" s="29"/>
      <c r="M661" s="29"/>
      <c r="N661" s="29"/>
      <c r="O661" s="52"/>
      <c r="P661" s="52"/>
      <c r="Q661" s="52"/>
      <c r="R661" s="53"/>
      <c r="S661" s="52"/>
      <c r="T661" s="52"/>
      <c r="U661" s="29"/>
      <c r="V661" s="54"/>
      <c r="W661" s="54"/>
    </row>
    <row r="662" ht="15.75" customHeight="1">
      <c r="A662" s="29"/>
      <c r="B662" s="16"/>
      <c r="C662" s="29"/>
      <c r="D662" s="29"/>
      <c r="E662" s="29"/>
      <c r="F662" s="29"/>
      <c r="G662" s="29"/>
      <c r="H662" s="41"/>
      <c r="I662" s="41"/>
      <c r="J662" s="51"/>
      <c r="K662" s="29"/>
      <c r="L662" s="29"/>
      <c r="M662" s="29"/>
      <c r="N662" s="29"/>
      <c r="O662" s="52"/>
      <c r="P662" s="52"/>
      <c r="Q662" s="52"/>
      <c r="R662" s="53"/>
      <c r="S662" s="52"/>
      <c r="T662" s="52"/>
      <c r="U662" s="29"/>
      <c r="V662" s="54"/>
      <c r="W662" s="54"/>
    </row>
    <row r="663" ht="15.75" customHeight="1">
      <c r="A663" s="29"/>
      <c r="B663" s="16"/>
      <c r="C663" s="29"/>
      <c r="D663" s="29"/>
      <c r="E663" s="29"/>
      <c r="F663" s="29"/>
      <c r="G663" s="29"/>
      <c r="H663" s="41"/>
      <c r="I663" s="41"/>
      <c r="J663" s="51"/>
      <c r="K663" s="29"/>
      <c r="L663" s="29"/>
      <c r="M663" s="29"/>
      <c r="N663" s="29"/>
      <c r="O663" s="52"/>
      <c r="P663" s="52"/>
      <c r="Q663" s="52"/>
      <c r="R663" s="53"/>
      <c r="S663" s="52"/>
      <c r="T663" s="52"/>
      <c r="U663" s="29"/>
      <c r="V663" s="54"/>
      <c r="W663" s="54"/>
    </row>
    <row r="664" ht="15.75" customHeight="1">
      <c r="A664" s="29"/>
      <c r="B664" s="16"/>
      <c r="C664" s="29"/>
      <c r="D664" s="29"/>
      <c r="E664" s="29"/>
      <c r="F664" s="29"/>
      <c r="G664" s="29"/>
      <c r="H664" s="41"/>
      <c r="I664" s="41"/>
      <c r="J664" s="51"/>
      <c r="K664" s="29"/>
      <c r="L664" s="29"/>
      <c r="M664" s="29"/>
      <c r="N664" s="29"/>
      <c r="O664" s="52"/>
      <c r="P664" s="52"/>
      <c r="Q664" s="52"/>
      <c r="R664" s="53"/>
      <c r="S664" s="52"/>
      <c r="T664" s="52"/>
      <c r="U664" s="29"/>
      <c r="V664" s="54"/>
      <c r="W664" s="54"/>
    </row>
    <row r="665" ht="15.75" customHeight="1">
      <c r="A665" s="29"/>
      <c r="B665" s="16"/>
      <c r="C665" s="29"/>
      <c r="D665" s="29"/>
      <c r="E665" s="29"/>
      <c r="F665" s="29"/>
      <c r="G665" s="29"/>
      <c r="H665" s="41"/>
      <c r="I665" s="41"/>
      <c r="J665" s="51"/>
      <c r="K665" s="29"/>
      <c r="L665" s="29"/>
      <c r="M665" s="29"/>
      <c r="N665" s="29"/>
      <c r="O665" s="52"/>
      <c r="P665" s="52"/>
      <c r="Q665" s="52"/>
      <c r="R665" s="53"/>
      <c r="S665" s="52"/>
      <c r="T665" s="52"/>
      <c r="U665" s="29"/>
      <c r="V665" s="54"/>
      <c r="W665" s="54"/>
    </row>
    <row r="666" ht="15.75" customHeight="1">
      <c r="A666" s="29"/>
      <c r="B666" s="16"/>
      <c r="C666" s="29"/>
      <c r="D666" s="29"/>
      <c r="E666" s="29"/>
      <c r="F666" s="29"/>
      <c r="G666" s="29"/>
      <c r="H666" s="41"/>
      <c r="I666" s="41"/>
      <c r="J666" s="51"/>
      <c r="K666" s="29"/>
      <c r="L666" s="29"/>
      <c r="M666" s="29"/>
      <c r="N666" s="29"/>
      <c r="O666" s="52"/>
      <c r="P666" s="52"/>
      <c r="Q666" s="52"/>
      <c r="R666" s="53"/>
      <c r="S666" s="52"/>
      <c r="T666" s="52"/>
      <c r="U666" s="29"/>
      <c r="V666" s="54"/>
      <c r="W666" s="54"/>
    </row>
    <row r="667" ht="15.75" customHeight="1">
      <c r="A667" s="29"/>
      <c r="B667" s="16"/>
      <c r="C667" s="29"/>
      <c r="D667" s="29"/>
      <c r="E667" s="29"/>
      <c r="F667" s="29"/>
      <c r="G667" s="29"/>
      <c r="H667" s="41"/>
      <c r="I667" s="41"/>
      <c r="J667" s="51"/>
      <c r="K667" s="29"/>
      <c r="L667" s="29"/>
      <c r="M667" s="29"/>
      <c r="N667" s="29"/>
      <c r="O667" s="52"/>
      <c r="P667" s="52"/>
      <c r="Q667" s="52"/>
      <c r="R667" s="53"/>
      <c r="S667" s="52"/>
      <c r="T667" s="52"/>
      <c r="U667" s="29"/>
      <c r="V667" s="54"/>
      <c r="W667" s="54"/>
    </row>
    <row r="668" ht="15.75" customHeight="1">
      <c r="A668" s="29"/>
      <c r="B668" s="16"/>
      <c r="C668" s="29"/>
      <c r="D668" s="29"/>
      <c r="E668" s="29"/>
      <c r="F668" s="29"/>
      <c r="G668" s="29"/>
      <c r="H668" s="41"/>
      <c r="I668" s="41"/>
      <c r="J668" s="51"/>
      <c r="K668" s="29"/>
      <c r="L668" s="29"/>
      <c r="M668" s="29"/>
      <c r="N668" s="29"/>
      <c r="O668" s="52"/>
      <c r="P668" s="52"/>
      <c r="Q668" s="52"/>
      <c r="R668" s="53"/>
      <c r="S668" s="52"/>
      <c r="T668" s="52"/>
      <c r="U668" s="29"/>
      <c r="V668" s="54"/>
      <c r="W668" s="54"/>
    </row>
    <row r="669" ht="15.75" customHeight="1">
      <c r="A669" s="29"/>
      <c r="B669" s="16"/>
      <c r="C669" s="29"/>
      <c r="D669" s="29"/>
      <c r="E669" s="29"/>
      <c r="F669" s="29"/>
      <c r="G669" s="29"/>
      <c r="H669" s="41"/>
      <c r="I669" s="41"/>
      <c r="J669" s="51"/>
      <c r="K669" s="29"/>
      <c r="L669" s="29"/>
      <c r="M669" s="29"/>
      <c r="N669" s="29"/>
      <c r="O669" s="52"/>
      <c r="P669" s="52"/>
      <c r="Q669" s="52"/>
      <c r="R669" s="53"/>
      <c r="S669" s="52"/>
      <c r="T669" s="52"/>
      <c r="U669" s="29"/>
      <c r="V669" s="54"/>
      <c r="W669" s="54"/>
    </row>
    <row r="670" ht="15.75" customHeight="1">
      <c r="A670" s="29"/>
      <c r="B670" s="16"/>
      <c r="C670" s="29"/>
      <c r="D670" s="29"/>
      <c r="E670" s="29"/>
      <c r="F670" s="29"/>
      <c r="G670" s="29"/>
      <c r="H670" s="41"/>
      <c r="I670" s="41"/>
      <c r="J670" s="51"/>
      <c r="K670" s="29"/>
      <c r="L670" s="29"/>
      <c r="M670" s="29"/>
      <c r="N670" s="29"/>
      <c r="O670" s="52"/>
      <c r="P670" s="52"/>
      <c r="Q670" s="52"/>
      <c r="R670" s="53"/>
      <c r="S670" s="52"/>
      <c r="T670" s="52"/>
      <c r="U670" s="29"/>
      <c r="V670" s="54"/>
      <c r="W670" s="54"/>
    </row>
    <row r="671" ht="15.75" customHeight="1">
      <c r="A671" s="29"/>
      <c r="B671" s="16"/>
      <c r="C671" s="29"/>
      <c r="D671" s="29"/>
      <c r="E671" s="29"/>
      <c r="F671" s="29"/>
      <c r="G671" s="29"/>
      <c r="H671" s="41"/>
      <c r="I671" s="41"/>
      <c r="J671" s="51"/>
      <c r="K671" s="29"/>
      <c r="L671" s="29"/>
      <c r="M671" s="29"/>
      <c r="N671" s="29"/>
      <c r="O671" s="52"/>
      <c r="P671" s="52"/>
      <c r="Q671" s="52"/>
      <c r="R671" s="53"/>
      <c r="S671" s="52"/>
      <c r="T671" s="52"/>
      <c r="U671" s="29"/>
      <c r="V671" s="54"/>
      <c r="W671" s="54"/>
    </row>
    <row r="672" ht="15.75" customHeight="1">
      <c r="A672" s="29"/>
      <c r="B672" s="16"/>
      <c r="C672" s="29"/>
      <c r="D672" s="29"/>
      <c r="E672" s="29"/>
      <c r="F672" s="29"/>
      <c r="G672" s="29"/>
      <c r="H672" s="41"/>
      <c r="I672" s="41"/>
      <c r="J672" s="51"/>
      <c r="K672" s="29"/>
      <c r="L672" s="29"/>
      <c r="M672" s="29"/>
      <c r="N672" s="29"/>
      <c r="O672" s="52"/>
      <c r="P672" s="52"/>
      <c r="Q672" s="52"/>
      <c r="R672" s="53"/>
      <c r="S672" s="52"/>
      <c r="T672" s="52"/>
      <c r="U672" s="29"/>
      <c r="V672" s="54"/>
      <c r="W672" s="54"/>
    </row>
    <row r="673" ht="15.75" customHeight="1">
      <c r="A673" s="29"/>
      <c r="B673" s="16"/>
      <c r="C673" s="29"/>
      <c r="D673" s="29"/>
      <c r="E673" s="29"/>
      <c r="F673" s="29"/>
      <c r="G673" s="29"/>
      <c r="H673" s="41"/>
      <c r="I673" s="41"/>
      <c r="J673" s="51"/>
      <c r="K673" s="29"/>
      <c r="L673" s="29"/>
      <c r="M673" s="29"/>
      <c r="N673" s="29"/>
      <c r="O673" s="52"/>
      <c r="P673" s="52"/>
      <c r="Q673" s="52"/>
      <c r="R673" s="53"/>
      <c r="S673" s="52"/>
      <c r="T673" s="52"/>
      <c r="U673" s="29"/>
      <c r="V673" s="54"/>
      <c r="W673" s="54"/>
    </row>
    <row r="674" ht="15.75" customHeight="1">
      <c r="A674" s="29"/>
      <c r="B674" s="16"/>
      <c r="C674" s="29"/>
      <c r="D674" s="29"/>
      <c r="E674" s="29"/>
      <c r="F674" s="29"/>
      <c r="G674" s="29"/>
      <c r="H674" s="41"/>
      <c r="I674" s="41"/>
      <c r="J674" s="51"/>
      <c r="K674" s="29"/>
      <c r="L674" s="29"/>
      <c r="M674" s="29"/>
      <c r="N674" s="29"/>
      <c r="O674" s="52"/>
      <c r="P674" s="52"/>
      <c r="Q674" s="52"/>
      <c r="R674" s="53"/>
      <c r="S674" s="52"/>
      <c r="T674" s="52"/>
      <c r="U674" s="29"/>
      <c r="V674" s="54"/>
      <c r="W674" s="54"/>
    </row>
    <row r="675" ht="15.75" customHeight="1">
      <c r="A675" s="29"/>
      <c r="B675" s="16"/>
      <c r="C675" s="29"/>
      <c r="D675" s="29"/>
      <c r="E675" s="29"/>
      <c r="F675" s="29"/>
      <c r="G675" s="29"/>
      <c r="H675" s="41"/>
      <c r="I675" s="41"/>
      <c r="J675" s="51"/>
      <c r="K675" s="29"/>
      <c r="L675" s="29"/>
      <c r="M675" s="29"/>
      <c r="N675" s="29"/>
      <c r="O675" s="52"/>
      <c r="P675" s="52"/>
      <c r="Q675" s="52"/>
      <c r="R675" s="53"/>
      <c r="S675" s="52"/>
      <c r="T675" s="52"/>
      <c r="U675" s="29"/>
      <c r="V675" s="54"/>
      <c r="W675" s="54"/>
    </row>
    <row r="676" ht="15.75" customHeight="1">
      <c r="A676" s="29"/>
      <c r="B676" s="16"/>
      <c r="C676" s="29"/>
      <c r="D676" s="29"/>
      <c r="E676" s="29"/>
      <c r="F676" s="29"/>
      <c r="G676" s="29"/>
      <c r="H676" s="41"/>
      <c r="I676" s="41"/>
      <c r="J676" s="51"/>
      <c r="K676" s="29"/>
      <c r="L676" s="29"/>
      <c r="M676" s="29"/>
      <c r="N676" s="29"/>
      <c r="O676" s="52"/>
      <c r="P676" s="52"/>
      <c r="Q676" s="52"/>
      <c r="R676" s="53"/>
      <c r="S676" s="52"/>
      <c r="T676" s="52"/>
      <c r="U676" s="29"/>
      <c r="V676" s="54"/>
      <c r="W676" s="54"/>
    </row>
    <row r="677" ht="15.75" customHeight="1">
      <c r="A677" s="29"/>
      <c r="B677" s="16"/>
      <c r="C677" s="29"/>
      <c r="D677" s="29"/>
      <c r="E677" s="29"/>
      <c r="F677" s="29"/>
      <c r="G677" s="29"/>
      <c r="H677" s="41"/>
      <c r="I677" s="41"/>
      <c r="J677" s="51"/>
      <c r="K677" s="29"/>
      <c r="L677" s="29"/>
      <c r="M677" s="29"/>
      <c r="N677" s="29"/>
      <c r="O677" s="52"/>
      <c r="P677" s="52"/>
      <c r="Q677" s="52"/>
      <c r="R677" s="53"/>
      <c r="S677" s="52"/>
      <c r="T677" s="52"/>
      <c r="U677" s="29"/>
      <c r="V677" s="54"/>
      <c r="W677" s="54"/>
    </row>
    <row r="678" ht="15.75" customHeight="1">
      <c r="A678" s="29"/>
      <c r="B678" s="16"/>
      <c r="C678" s="29"/>
      <c r="D678" s="29"/>
      <c r="E678" s="29"/>
      <c r="F678" s="29"/>
      <c r="G678" s="29"/>
      <c r="H678" s="41"/>
      <c r="I678" s="41"/>
      <c r="J678" s="51"/>
      <c r="K678" s="29"/>
      <c r="L678" s="29"/>
      <c r="M678" s="29"/>
      <c r="N678" s="29"/>
      <c r="O678" s="52"/>
      <c r="P678" s="52"/>
      <c r="Q678" s="52"/>
      <c r="R678" s="53"/>
      <c r="S678" s="52"/>
      <c r="T678" s="52"/>
      <c r="U678" s="29"/>
      <c r="V678" s="54"/>
      <c r="W678" s="54"/>
    </row>
    <row r="679" ht="15.75" customHeight="1">
      <c r="A679" s="29"/>
      <c r="B679" s="16"/>
      <c r="C679" s="29"/>
      <c r="D679" s="29"/>
      <c r="E679" s="29"/>
      <c r="F679" s="29"/>
      <c r="G679" s="29"/>
      <c r="H679" s="41"/>
      <c r="I679" s="41"/>
      <c r="J679" s="51"/>
      <c r="K679" s="29"/>
      <c r="L679" s="29"/>
      <c r="M679" s="29"/>
      <c r="N679" s="29"/>
      <c r="O679" s="52"/>
      <c r="P679" s="52"/>
      <c r="Q679" s="52"/>
      <c r="R679" s="53"/>
      <c r="S679" s="52"/>
      <c r="T679" s="52"/>
      <c r="U679" s="29"/>
      <c r="V679" s="54"/>
      <c r="W679" s="54"/>
    </row>
    <row r="680" ht="15.75" customHeight="1">
      <c r="A680" s="29"/>
      <c r="B680" s="16"/>
      <c r="C680" s="29"/>
      <c r="D680" s="29"/>
      <c r="E680" s="29"/>
      <c r="F680" s="29"/>
      <c r="G680" s="29"/>
      <c r="H680" s="41"/>
      <c r="I680" s="41"/>
      <c r="J680" s="51"/>
      <c r="K680" s="29"/>
      <c r="L680" s="29"/>
      <c r="M680" s="29"/>
      <c r="N680" s="29"/>
      <c r="O680" s="52"/>
      <c r="P680" s="52"/>
      <c r="Q680" s="52"/>
      <c r="R680" s="53"/>
      <c r="S680" s="52"/>
      <c r="T680" s="52"/>
      <c r="U680" s="29"/>
      <c r="V680" s="54"/>
      <c r="W680" s="54"/>
    </row>
    <row r="681" ht="15.75" customHeight="1">
      <c r="A681" s="29"/>
      <c r="B681" s="16"/>
      <c r="C681" s="29"/>
      <c r="D681" s="29"/>
      <c r="E681" s="29"/>
      <c r="F681" s="29"/>
      <c r="G681" s="29"/>
      <c r="H681" s="41"/>
      <c r="I681" s="41"/>
      <c r="J681" s="51"/>
      <c r="K681" s="29"/>
      <c r="L681" s="29"/>
      <c r="M681" s="29"/>
      <c r="N681" s="29"/>
      <c r="O681" s="52"/>
      <c r="P681" s="52"/>
      <c r="Q681" s="52"/>
      <c r="R681" s="53"/>
      <c r="S681" s="52"/>
      <c r="T681" s="52"/>
      <c r="U681" s="29"/>
      <c r="V681" s="54"/>
      <c r="W681" s="54"/>
    </row>
    <row r="682" ht="15.75" customHeight="1">
      <c r="A682" s="29"/>
      <c r="B682" s="16"/>
      <c r="C682" s="29"/>
      <c r="D682" s="29"/>
      <c r="E682" s="29"/>
      <c r="F682" s="29"/>
      <c r="G682" s="29"/>
      <c r="H682" s="41"/>
      <c r="I682" s="41"/>
      <c r="J682" s="51"/>
      <c r="K682" s="29"/>
      <c r="L682" s="29"/>
      <c r="M682" s="29"/>
      <c r="N682" s="29"/>
      <c r="O682" s="52"/>
      <c r="P682" s="52"/>
      <c r="Q682" s="52"/>
      <c r="R682" s="53"/>
      <c r="S682" s="52"/>
      <c r="T682" s="52"/>
      <c r="U682" s="29"/>
      <c r="V682" s="54"/>
      <c r="W682" s="54"/>
    </row>
    <row r="683" ht="15.75" customHeight="1">
      <c r="A683" s="29"/>
      <c r="B683" s="16"/>
      <c r="C683" s="29"/>
      <c r="D683" s="29"/>
      <c r="E683" s="29"/>
      <c r="F683" s="29"/>
      <c r="G683" s="29"/>
      <c r="H683" s="41"/>
      <c r="I683" s="41"/>
      <c r="J683" s="51"/>
      <c r="K683" s="29"/>
      <c r="L683" s="29"/>
      <c r="M683" s="29"/>
      <c r="N683" s="29"/>
      <c r="O683" s="52"/>
      <c r="P683" s="52"/>
      <c r="Q683" s="52"/>
      <c r="R683" s="53"/>
      <c r="S683" s="52"/>
      <c r="T683" s="52"/>
      <c r="U683" s="29"/>
      <c r="V683" s="54"/>
      <c r="W683" s="54"/>
    </row>
    <row r="684" ht="15.75" customHeight="1">
      <c r="A684" s="29"/>
      <c r="B684" s="16"/>
      <c r="C684" s="29"/>
      <c r="D684" s="29"/>
      <c r="E684" s="29"/>
      <c r="F684" s="29"/>
      <c r="G684" s="29"/>
      <c r="H684" s="41"/>
      <c r="I684" s="41"/>
      <c r="J684" s="51"/>
      <c r="K684" s="29"/>
      <c r="L684" s="29"/>
      <c r="M684" s="29"/>
      <c r="N684" s="29"/>
      <c r="O684" s="52"/>
      <c r="P684" s="52"/>
      <c r="Q684" s="52"/>
      <c r="R684" s="53"/>
      <c r="S684" s="52"/>
      <c r="T684" s="52"/>
      <c r="U684" s="29"/>
      <c r="V684" s="54"/>
      <c r="W684" s="54"/>
    </row>
    <row r="685" ht="15.75" customHeight="1">
      <c r="A685" s="29"/>
      <c r="B685" s="16"/>
      <c r="C685" s="29"/>
      <c r="D685" s="29"/>
      <c r="E685" s="29"/>
      <c r="F685" s="29"/>
      <c r="G685" s="29"/>
      <c r="H685" s="41"/>
      <c r="I685" s="41"/>
      <c r="J685" s="51"/>
      <c r="K685" s="29"/>
      <c r="L685" s="29"/>
      <c r="M685" s="29"/>
      <c r="N685" s="29"/>
      <c r="O685" s="52"/>
      <c r="P685" s="52"/>
      <c r="Q685" s="52"/>
      <c r="R685" s="53"/>
      <c r="S685" s="52"/>
      <c r="T685" s="52"/>
      <c r="U685" s="29"/>
      <c r="V685" s="54"/>
      <c r="W685" s="54"/>
    </row>
    <row r="686" ht="15.75" customHeight="1">
      <c r="A686" s="29"/>
      <c r="B686" s="16"/>
      <c r="C686" s="29"/>
      <c r="D686" s="29"/>
      <c r="E686" s="29"/>
      <c r="F686" s="29"/>
      <c r="G686" s="29"/>
      <c r="H686" s="41"/>
      <c r="I686" s="41"/>
      <c r="J686" s="51"/>
      <c r="K686" s="29"/>
      <c r="L686" s="29"/>
      <c r="M686" s="29"/>
      <c r="N686" s="29"/>
      <c r="O686" s="52"/>
      <c r="P686" s="52"/>
      <c r="Q686" s="52"/>
      <c r="R686" s="53"/>
      <c r="S686" s="52"/>
      <c r="T686" s="52"/>
      <c r="U686" s="29"/>
      <c r="V686" s="54"/>
      <c r="W686" s="54"/>
    </row>
    <row r="687" ht="15.75" customHeight="1">
      <c r="A687" s="29"/>
      <c r="B687" s="16"/>
      <c r="C687" s="29"/>
      <c r="D687" s="29"/>
      <c r="E687" s="29"/>
      <c r="F687" s="29"/>
      <c r="G687" s="29"/>
      <c r="H687" s="41"/>
      <c r="I687" s="41"/>
      <c r="J687" s="51"/>
      <c r="K687" s="29"/>
      <c r="L687" s="29"/>
      <c r="M687" s="29"/>
      <c r="N687" s="29"/>
      <c r="O687" s="52"/>
      <c r="P687" s="52"/>
      <c r="Q687" s="52"/>
      <c r="R687" s="53"/>
      <c r="S687" s="52"/>
      <c r="T687" s="52"/>
      <c r="U687" s="29"/>
      <c r="V687" s="54"/>
      <c r="W687" s="54"/>
    </row>
    <row r="688" ht="15.75" customHeight="1">
      <c r="A688" s="29"/>
      <c r="B688" s="16"/>
      <c r="C688" s="29"/>
      <c r="D688" s="29"/>
      <c r="E688" s="29"/>
      <c r="F688" s="29"/>
      <c r="G688" s="29"/>
      <c r="H688" s="41"/>
      <c r="I688" s="41"/>
      <c r="J688" s="51"/>
      <c r="K688" s="29"/>
      <c r="L688" s="29"/>
      <c r="M688" s="29"/>
      <c r="N688" s="29"/>
      <c r="O688" s="52"/>
      <c r="P688" s="52"/>
      <c r="Q688" s="52"/>
      <c r="R688" s="53"/>
      <c r="S688" s="52"/>
      <c r="T688" s="52"/>
      <c r="U688" s="29"/>
      <c r="V688" s="54"/>
      <c r="W688" s="54"/>
    </row>
    <row r="689" ht="15.75" customHeight="1">
      <c r="A689" s="29"/>
      <c r="B689" s="16"/>
      <c r="C689" s="29"/>
      <c r="D689" s="29"/>
      <c r="E689" s="29"/>
      <c r="F689" s="29"/>
      <c r="G689" s="29"/>
      <c r="H689" s="41"/>
      <c r="I689" s="41"/>
      <c r="J689" s="51"/>
      <c r="K689" s="29"/>
      <c r="L689" s="29"/>
      <c r="M689" s="29"/>
      <c r="N689" s="29"/>
      <c r="O689" s="52"/>
      <c r="P689" s="52"/>
      <c r="Q689" s="52"/>
      <c r="R689" s="53"/>
      <c r="S689" s="52"/>
      <c r="T689" s="52"/>
      <c r="U689" s="29"/>
      <c r="V689" s="54"/>
      <c r="W689" s="54"/>
    </row>
    <row r="690" ht="15.75" customHeight="1">
      <c r="A690" s="29"/>
      <c r="B690" s="16"/>
      <c r="C690" s="29"/>
      <c r="D690" s="29"/>
      <c r="E690" s="29"/>
      <c r="F690" s="29"/>
      <c r="G690" s="29"/>
      <c r="H690" s="41"/>
      <c r="I690" s="41"/>
      <c r="J690" s="51"/>
      <c r="K690" s="29"/>
      <c r="L690" s="29"/>
      <c r="M690" s="29"/>
      <c r="N690" s="29"/>
      <c r="O690" s="52"/>
      <c r="P690" s="52"/>
      <c r="Q690" s="52"/>
      <c r="R690" s="53"/>
      <c r="S690" s="52"/>
      <c r="T690" s="52"/>
      <c r="U690" s="29"/>
      <c r="V690" s="54"/>
      <c r="W690" s="54"/>
    </row>
    <row r="691" ht="15.75" customHeight="1">
      <c r="A691" s="29"/>
      <c r="B691" s="16"/>
      <c r="C691" s="29"/>
      <c r="D691" s="29"/>
      <c r="E691" s="29"/>
      <c r="F691" s="29"/>
      <c r="G691" s="29"/>
      <c r="H691" s="41"/>
      <c r="I691" s="41"/>
      <c r="J691" s="51"/>
      <c r="K691" s="29"/>
      <c r="L691" s="29"/>
      <c r="M691" s="29"/>
      <c r="N691" s="29"/>
      <c r="O691" s="52"/>
      <c r="P691" s="52"/>
      <c r="Q691" s="52"/>
      <c r="R691" s="53"/>
      <c r="S691" s="52"/>
      <c r="T691" s="52"/>
      <c r="U691" s="29"/>
      <c r="V691" s="54"/>
      <c r="W691" s="54"/>
    </row>
    <row r="692" ht="15.75" customHeight="1">
      <c r="A692" s="29"/>
      <c r="B692" s="16"/>
      <c r="C692" s="29"/>
      <c r="D692" s="29"/>
      <c r="E692" s="29"/>
      <c r="F692" s="29"/>
      <c r="G692" s="29"/>
      <c r="H692" s="41"/>
      <c r="I692" s="41"/>
      <c r="J692" s="51"/>
      <c r="K692" s="29"/>
      <c r="L692" s="29"/>
      <c r="M692" s="29"/>
      <c r="N692" s="29"/>
      <c r="O692" s="52"/>
      <c r="P692" s="52"/>
      <c r="Q692" s="52"/>
      <c r="R692" s="53"/>
      <c r="S692" s="52"/>
      <c r="T692" s="52"/>
      <c r="U692" s="29"/>
      <c r="V692" s="54"/>
      <c r="W692" s="54"/>
    </row>
    <row r="693" ht="15.75" customHeight="1">
      <c r="A693" s="29"/>
      <c r="B693" s="16"/>
      <c r="C693" s="29"/>
      <c r="D693" s="29"/>
      <c r="E693" s="29"/>
      <c r="F693" s="29"/>
      <c r="G693" s="29"/>
      <c r="H693" s="41"/>
      <c r="I693" s="41"/>
      <c r="J693" s="51"/>
      <c r="K693" s="29"/>
      <c r="L693" s="29"/>
      <c r="M693" s="29"/>
      <c r="N693" s="29"/>
      <c r="O693" s="52"/>
      <c r="P693" s="52"/>
      <c r="Q693" s="52"/>
      <c r="R693" s="53"/>
      <c r="S693" s="52"/>
      <c r="T693" s="52"/>
      <c r="U693" s="29"/>
      <c r="V693" s="54"/>
      <c r="W693" s="54"/>
    </row>
    <row r="694" ht="15.75" customHeight="1">
      <c r="A694" s="29"/>
      <c r="B694" s="16"/>
      <c r="C694" s="29"/>
      <c r="D694" s="29"/>
      <c r="E694" s="29"/>
      <c r="F694" s="29"/>
      <c r="G694" s="29"/>
      <c r="H694" s="41"/>
      <c r="I694" s="41"/>
      <c r="J694" s="51"/>
      <c r="K694" s="29"/>
      <c r="L694" s="29"/>
      <c r="M694" s="29"/>
      <c r="N694" s="29"/>
      <c r="O694" s="52"/>
      <c r="P694" s="52"/>
      <c r="Q694" s="52"/>
      <c r="R694" s="53"/>
      <c r="S694" s="52"/>
      <c r="T694" s="52"/>
      <c r="U694" s="29"/>
      <c r="V694" s="54"/>
      <c r="W694" s="54"/>
    </row>
    <row r="695" ht="15.75" customHeight="1">
      <c r="A695" s="29"/>
      <c r="B695" s="16"/>
      <c r="C695" s="29"/>
      <c r="D695" s="29"/>
      <c r="E695" s="29"/>
      <c r="F695" s="29"/>
      <c r="G695" s="29"/>
      <c r="H695" s="41"/>
      <c r="I695" s="41"/>
      <c r="J695" s="51"/>
      <c r="K695" s="29"/>
      <c r="L695" s="29"/>
      <c r="M695" s="29"/>
      <c r="N695" s="29"/>
      <c r="O695" s="52"/>
      <c r="P695" s="52"/>
      <c r="Q695" s="52"/>
      <c r="R695" s="53"/>
      <c r="S695" s="52"/>
      <c r="T695" s="52"/>
      <c r="U695" s="29"/>
      <c r="V695" s="54"/>
      <c r="W695" s="54"/>
    </row>
    <row r="696" ht="15.75" customHeight="1">
      <c r="A696" s="29"/>
      <c r="B696" s="16"/>
      <c r="C696" s="29"/>
      <c r="D696" s="29"/>
      <c r="E696" s="29"/>
      <c r="F696" s="29"/>
      <c r="G696" s="29"/>
      <c r="H696" s="41"/>
      <c r="I696" s="41"/>
      <c r="J696" s="51"/>
      <c r="K696" s="29"/>
      <c r="L696" s="29"/>
      <c r="M696" s="29"/>
      <c r="N696" s="29"/>
      <c r="O696" s="52"/>
      <c r="P696" s="52"/>
      <c r="Q696" s="52"/>
      <c r="R696" s="53"/>
      <c r="S696" s="52"/>
      <c r="T696" s="52"/>
      <c r="U696" s="29"/>
      <c r="V696" s="54"/>
      <c r="W696" s="54"/>
    </row>
    <row r="697" ht="15.75" customHeight="1">
      <c r="A697" s="29"/>
      <c r="B697" s="16"/>
      <c r="C697" s="29"/>
      <c r="D697" s="29"/>
      <c r="E697" s="29"/>
      <c r="F697" s="29"/>
      <c r="G697" s="29"/>
      <c r="H697" s="41"/>
      <c r="I697" s="41"/>
      <c r="J697" s="51"/>
      <c r="K697" s="29"/>
      <c r="L697" s="29"/>
      <c r="M697" s="29"/>
      <c r="N697" s="29"/>
      <c r="O697" s="52"/>
      <c r="P697" s="52"/>
      <c r="Q697" s="52"/>
      <c r="R697" s="53"/>
      <c r="S697" s="52"/>
      <c r="T697" s="52"/>
      <c r="U697" s="29"/>
      <c r="V697" s="54"/>
      <c r="W697" s="54"/>
    </row>
    <row r="698" ht="15.75" customHeight="1">
      <c r="A698" s="29"/>
      <c r="B698" s="16"/>
      <c r="C698" s="29"/>
      <c r="D698" s="29"/>
      <c r="E698" s="29"/>
      <c r="F698" s="29"/>
      <c r="G698" s="29"/>
      <c r="H698" s="41"/>
      <c r="I698" s="41"/>
      <c r="J698" s="51"/>
      <c r="K698" s="29"/>
      <c r="L698" s="29"/>
      <c r="M698" s="29"/>
      <c r="N698" s="29"/>
      <c r="O698" s="52"/>
      <c r="P698" s="52"/>
      <c r="Q698" s="52"/>
      <c r="R698" s="53"/>
      <c r="S698" s="52"/>
      <c r="T698" s="52"/>
      <c r="U698" s="29"/>
      <c r="V698" s="54"/>
      <c r="W698" s="54"/>
    </row>
    <row r="699" ht="15.75" customHeight="1">
      <c r="A699" s="29"/>
      <c r="B699" s="16"/>
      <c r="C699" s="29"/>
      <c r="D699" s="29"/>
      <c r="E699" s="29"/>
      <c r="F699" s="29"/>
      <c r="G699" s="29"/>
      <c r="H699" s="41"/>
      <c r="I699" s="41"/>
      <c r="J699" s="51"/>
      <c r="K699" s="29"/>
      <c r="L699" s="29"/>
      <c r="M699" s="29"/>
      <c r="N699" s="29"/>
      <c r="O699" s="52"/>
      <c r="P699" s="52"/>
      <c r="Q699" s="52"/>
      <c r="R699" s="53"/>
      <c r="S699" s="52"/>
      <c r="T699" s="52"/>
      <c r="U699" s="29"/>
      <c r="V699" s="54"/>
      <c r="W699" s="54"/>
    </row>
    <row r="700" ht="15.75" customHeight="1">
      <c r="A700" s="29"/>
      <c r="B700" s="16"/>
      <c r="C700" s="29"/>
      <c r="D700" s="29"/>
      <c r="E700" s="29"/>
      <c r="F700" s="29"/>
      <c r="G700" s="29"/>
      <c r="H700" s="41"/>
      <c r="I700" s="41"/>
      <c r="J700" s="51"/>
      <c r="K700" s="29"/>
      <c r="L700" s="29"/>
      <c r="M700" s="29"/>
      <c r="N700" s="29"/>
      <c r="O700" s="52"/>
      <c r="P700" s="52"/>
      <c r="Q700" s="52"/>
      <c r="R700" s="53"/>
      <c r="S700" s="52"/>
      <c r="T700" s="52"/>
      <c r="U700" s="29"/>
      <c r="V700" s="54"/>
      <c r="W700" s="54"/>
    </row>
    <row r="701" ht="15.75" customHeight="1">
      <c r="A701" s="29"/>
      <c r="B701" s="16"/>
      <c r="C701" s="29"/>
      <c r="D701" s="29"/>
      <c r="E701" s="29"/>
      <c r="F701" s="29"/>
      <c r="G701" s="29"/>
      <c r="H701" s="41"/>
      <c r="I701" s="41"/>
      <c r="J701" s="51"/>
      <c r="K701" s="29"/>
      <c r="L701" s="29"/>
      <c r="M701" s="29"/>
      <c r="N701" s="29"/>
      <c r="O701" s="52"/>
      <c r="P701" s="52"/>
      <c r="Q701" s="52"/>
      <c r="R701" s="53"/>
      <c r="S701" s="52"/>
      <c r="T701" s="52"/>
      <c r="U701" s="29"/>
      <c r="V701" s="54"/>
      <c r="W701" s="54"/>
    </row>
    <row r="702" ht="15.75" customHeight="1">
      <c r="A702" s="29"/>
      <c r="B702" s="16"/>
      <c r="C702" s="29"/>
      <c r="D702" s="29"/>
      <c r="E702" s="29"/>
      <c r="F702" s="29"/>
      <c r="G702" s="29"/>
      <c r="H702" s="41"/>
      <c r="I702" s="41"/>
      <c r="J702" s="51"/>
      <c r="K702" s="29"/>
      <c r="L702" s="29"/>
      <c r="M702" s="29"/>
      <c r="N702" s="29"/>
      <c r="O702" s="52"/>
      <c r="P702" s="52"/>
      <c r="Q702" s="52"/>
      <c r="R702" s="53"/>
      <c r="S702" s="52"/>
      <c r="T702" s="52"/>
      <c r="U702" s="29"/>
      <c r="V702" s="54"/>
      <c r="W702" s="54"/>
    </row>
    <row r="703" ht="15.75" customHeight="1">
      <c r="A703" s="29"/>
      <c r="B703" s="16"/>
      <c r="C703" s="29"/>
      <c r="D703" s="29"/>
      <c r="E703" s="29"/>
      <c r="F703" s="29"/>
      <c r="G703" s="29"/>
      <c r="H703" s="41"/>
      <c r="I703" s="41"/>
      <c r="J703" s="51"/>
      <c r="K703" s="29"/>
      <c r="L703" s="29"/>
      <c r="M703" s="29"/>
      <c r="N703" s="29"/>
      <c r="O703" s="52"/>
      <c r="P703" s="52"/>
      <c r="Q703" s="52"/>
      <c r="R703" s="53"/>
      <c r="S703" s="52"/>
      <c r="T703" s="52"/>
      <c r="U703" s="29"/>
      <c r="V703" s="54"/>
      <c r="W703" s="54"/>
    </row>
    <row r="704" ht="15.75" customHeight="1">
      <c r="A704" s="29"/>
      <c r="B704" s="16"/>
      <c r="C704" s="29"/>
      <c r="D704" s="29"/>
      <c r="E704" s="29"/>
      <c r="F704" s="29"/>
      <c r="G704" s="29"/>
      <c r="H704" s="41"/>
      <c r="I704" s="41"/>
      <c r="J704" s="51"/>
      <c r="K704" s="29"/>
      <c r="L704" s="29"/>
      <c r="M704" s="29"/>
      <c r="N704" s="29"/>
      <c r="O704" s="52"/>
      <c r="P704" s="52"/>
      <c r="Q704" s="52"/>
      <c r="R704" s="53"/>
      <c r="S704" s="52"/>
      <c r="T704" s="52"/>
      <c r="U704" s="29"/>
      <c r="V704" s="54"/>
      <c r="W704" s="54"/>
    </row>
    <row r="705" ht="15.75" customHeight="1">
      <c r="A705" s="29"/>
      <c r="B705" s="16"/>
      <c r="C705" s="29"/>
      <c r="D705" s="29"/>
      <c r="E705" s="29"/>
      <c r="F705" s="29"/>
      <c r="G705" s="29"/>
      <c r="H705" s="41"/>
      <c r="I705" s="41"/>
      <c r="J705" s="51"/>
      <c r="K705" s="29"/>
      <c r="L705" s="29"/>
      <c r="M705" s="29"/>
      <c r="N705" s="29"/>
      <c r="O705" s="52"/>
      <c r="P705" s="52"/>
      <c r="Q705" s="52"/>
      <c r="R705" s="53"/>
      <c r="S705" s="52"/>
      <c r="T705" s="52"/>
      <c r="U705" s="29"/>
      <c r="V705" s="54"/>
      <c r="W705" s="54"/>
    </row>
    <row r="706" ht="15.75" customHeight="1">
      <c r="A706" s="29"/>
      <c r="B706" s="16"/>
      <c r="C706" s="29"/>
      <c r="D706" s="29"/>
      <c r="E706" s="29"/>
      <c r="F706" s="29"/>
      <c r="G706" s="29"/>
      <c r="H706" s="41"/>
      <c r="I706" s="41"/>
      <c r="J706" s="51"/>
      <c r="K706" s="29"/>
      <c r="L706" s="29"/>
      <c r="M706" s="29"/>
      <c r="N706" s="29"/>
      <c r="O706" s="52"/>
      <c r="P706" s="52"/>
      <c r="Q706" s="52"/>
      <c r="R706" s="53"/>
      <c r="S706" s="52"/>
      <c r="T706" s="52"/>
      <c r="U706" s="29"/>
      <c r="V706" s="54"/>
      <c r="W706" s="54"/>
    </row>
    <row r="707" ht="15.75" customHeight="1">
      <c r="A707" s="29"/>
      <c r="B707" s="16"/>
      <c r="C707" s="29"/>
      <c r="D707" s="29"/>
      <c r="E707" s="29"/>
      <c r="F707" s="29"/>
      <c r="G707" s="29"/>
      <c r="H707" s="41"/>
      <c r="I707" s="41"/>
      <c r="J707" s="51"/>
      <c r="K707" s="29"/>
      <c r="L707" s="29"/>
      <c r="M707" s="29"/>
      <c r="N707" s="29"/>
      <c r="O707" s="52"/>
      <c r="P707" s="52"/>
      <c r="Q707" s="52"/>
      <c r="R707" s="53"/>
      <c r="S707" s="52"/>
      <c r="T707" s="52"/>
      <c r="U707" s="29"/>
      <c r="V707" s="54"/>
      <c r="W707" s="54"/>
    </row>
    <row r="708" ht="15.75" customHeight="1">
      <c r="A708" s="29"/>
      <c r="B708" s="16"/>
      <c r="C708" s="29"/>
      <c r="D708" s="29"/>
      <c r="E708" s="29"/>
      <c r="F708" s="29"/>
      <c r="G708" s="29"/>
      <c r="H708" s="41"/>
      <c r="I708" s="41"/>
      <c r="J708" s="51"/>
      <c r="K708" s="29"/>
      <c r="L708" s="29"/>
      <c r="M708" s="29"/>
      <c r="N708" s="29"/>
      <c r="O708" s="52"/>
      <c r="P708" s="52"/>
      <c r="Q708" s="52"/>
      <c r="R708" s="53"/>
      <c r="S708" s="52"/>
      <c r="T708" s="52"/>
      <c r="U708" s="29"/>
      <c r="V708" s="54"/>
      <c r="W708" s="54"/>
    </row>
    <row r="709" ht="15.75" customHeight="1">
      <c r="A709" s="29"/>
      <c r="B709" s="16"/>
      <c r="C709" s="29"/>
      <c r="D709" s="29"/>
      <c r="E709" s="29"/>
      <c r="F709" s="29"/>
      <c r="G709" s="29"/>
      <c r="H709" s="41"/>
      <c r="I709" s="41"/>
      <c r="J709" s="51"/>
      <c r="K709" s="29"/>
      <c r="L709" s="29"/>
      <c r="M709" s="29"/>
      <c r="N709" s="29"/>
      <c r="O709" s="52"/>
      <c r="P709" s="52"/>
      <c r="Q709" s="52"/>
      <c r="R709" s="53"/>
      <c r="S709" s="52"/>
      <c r="T709" s="52"/>
      <c r="U709" s="29"/>
      <c r="V709" s="54"/>
      <c r="W709" s="54"/>
    </row>
    <row r="710" ht="15.75" customHeight="1">
      <c r="A710" s="29"/>
      <c r="B710" s="16"/>
      <c r="C710" s="29"/>
      <c r="D710" s="29"/>
      <c r="E710" s="29"/>
      <c r="F710" s="29"/>
      <c r="G710" s="29"/>
      <c r="H710" s="41"/>
      <c r="I710" s="41"/>
      <c r="J710" s="51"/>
      <c r="K710" s="29"/>
      <c r="L710" s="29"/>
      <c r="M710" s="29"/>
      <c r="N710" s="29"/>
      <c r="O710" s="52"/>
      <c r="P710" s="52"/>
      <c r="Q710" s="52"/>
      <c r="R710" s="53"/>
      <c r="S710" s="52"/>
      <c r="T710" s="52"/>
      <c r="U710" s="29"/>
      <c r="V710" s="54"/>
      <c r="W710" s="54"/>
    </row>
    <row r="711" ht="15.75" customHeight="1">
      <c r="A711" s="29"/>
      <c r="B711" s="16"/>
      <c r="C711" s="29"/>
      <c r="D711" s="29"/>
      <c r="E711" s="29"/>
      <c r="F711" s="29"/>
      <c r="G711" s="29"/>
      <c r="H711" s="41"/>
      <c r="I711" s="41"/>
      <c r="J711" s="51"/>
      <c r="K711" s="29"/>
      <c r="L711" s="29"/>
      <c r="M711" s="29"/>
      <c r="N711" s="29"/>
      <c r="O711" s="52"/>
      <c r="P711" s="52"/>
      <c r="Q711" s="52"/>
      <c r="R711" s="53"/>
      <c r="S711" s="52"/>
      <c r="T711" s="52"/>
      <c r="U711" s="29"/>
      <c r="V711" s="54"/>
      <c r="W711" s="54"/>
    </row>
    <row r="712" ht="15.75" customHeight="1">
      <c r="A712" s="29"/>
      <c r="B712" s="16"/>
      <c r="C712" s="29"/>
      <c r="D712" s="29"/>
      <c r="E712" s="29"/>
      <c r="F712" s="29"/>
      <c r="G712" s="29"/>
      <c r="H712" s="41"/>
      <c r="I712" s="41"/>
      <c r="J712" s="51"/>
      <c r="K712" s="29"/>
      <c r="L712" s="29"/>
      <c r="M712" s="29"/>
      <c r="N712" s="29"/>
      <c r="O712" s="52"/>
      <c r="P712" s="52"/>
      <c r="Q712" s="52"/>
      <c r="R712" s="53"/>
      <c r="S712" s="52"/>
      <c r="T712" s="52"/>
      <c r="U712" s="29"/>
      <c r="V712" s="54"/>
      <c r="W712" s="54"/>
    </row>
    <row r="713" ht="15.75" customHeight="1">
      <c r="A713" s="29"/>
      <c r="B713" s="16"/>
      <c r="C713" s="29"/>
      <c r="D713" s="29"/>
      <c r="E713" s="29"/>
      <c r="F713" s="29"/>
      <c r="G713" s="29"/>
      <c r="H713" s="41"/>
      <c r="I713" s="41"/>
      <c r="J713" s="51"/>
      <c r="K713" s="29"/>
      <c r="L713" s="29"/>
      <c r="M713" s="29"/>
      <c r="N713" s="29"/>
      <c r="O713" s="52"/>
      <c r="P713" s="52"/>
      <c r="Q713" s="52"/>
      <c r="R713" s="53"/>
      <c r="S713" s="52"/>
      <c r="T713" s="52"/>
      <c r="U713" s="29"/>
      <c r="V713" s="54"/>
      <c r="W713" s="54"/>
    </row>
    <row r="714" ht="15.75" customHeight="1">
      <c r="A714" s="29"/>
      <c r="B714" s="16"/>
      <c r="C714" s="29"/>
      <c r="D714" s="29"/>
      <c r="E714" s="29"/>
      <c r="F714" s="29"/>
      <c r="G714" s="29"/>
      <c r="H714" s="41"/>
      <c r="I714" s="41"/>
      <c r="J714" s="51"/>
      <c r="K714" s="29"/>
      <c r="L714" s="29"/>
      <c r="M714" s="29"/>
      <c r="N714" s="29"/>
      <c r="O714" s="52"/>
      <c r="P714" s="52"/>
      <c r="Q714" s="52"/>
      <c r="R714" s="53"/>
      <c r="S714" s="52"/>
      <c r="T714" s="52"/>
      <c r="U714" s="29"/>
      <c r="V714" s="54"/>
      <c r="W714" s="54"/>
    </row>
    <row r="715" ht="15.75" customHeight="1">
      <c r="A715" s="29"/>
      <c r="B715" s="16"/>
      <c r="C715" s="29"/>
      <c r="D715" s="29"/>
      <c r="E715" s="29"/>
      <c r="F715" s="29"/>
      <c r="G715" s="29"/>
      <c r="H715" s="41"/>
      <c r="I715" s="41"/>
      <c r="J715" s="51"/>
      <c r="K715" s="29"/>
      <c r="L715" s="29"/>
      <c r="M715" s="29"/>
      <c r="N715" s="29"/>
      <c r="O715" s="52"/>
      <c r="P715" s="52"/>
      <c r="Q715" s="52"/>
      <c r="R715" s="53"/>
      <c r="S715" s="52"/>
      <c r="T715" s="52"/>
      <c r="U715" s="29"/>
      <c r="V715" s="54"/>
      <c r="W715" s="54"/>
    </row>
    <row r="716" ht="15.75" customHeight="1">
      <c r="A716" s="29"/>
      <c r="B716" s="16"/>
      <c r="C716" s="29"/>
      <c r="D716" s="29"/>
      <c r="E716" s="29"/>
      <c r="F716" s="29"/>
      <c r="G716" s="29"/>
      <c r="H716" s="41"/>
      <c r="I716" s="41"/>
      <c r="J716" s="51"/>
      <c r="K716" s="29"/>
      <c r="L716" s="29"/>
      <c r="M716" s="29"/>
      <c r="N716" s="29"/>
      <c r="O716" s="52"/>
      <c r="P716" s="52"/>
      <c r="Q716" s="52"/>
      <c r="R716" s="53"/>
      <c r="S716" s="52"/>
      <c r="T716" s="52"/>
      <c r="U716" s="29"/>
      <c r="V716" s="54"/>
      <c r="W716" s="54"/>
    </row>
    <row r="717" ht="15.75" customHeight="1">
      <c r="A717" s="29"/>
      <c r="B717" s="16"/>
      <c r="C717" s="29"/>
      <c r="D717" s="29"/>
      <c r="E717" s="29"/>
      <c r="F717" s="29"/>
      <c r="G717" s="29"/>
      <c r="H717" s="41"/>
      <c r="I717" s="41"/>
      <c r="J717" s="51"/>
      <c r="K717" s="29"/>
      <c r="L717" s="29"/>
      <c r="M717" s="29"/>
      <c r="N717" s="29"/>
      <c r="O717" s="52"/>
      <c r="P717" s="52"/>
      <c r="Q717" s="52"/>
      <c r="R717" s="53"/>
      <c r="S717" s="52"/>
      <c r="T717" s="52"/>
      <c r="U717" s="29"/>
      <c r="V717" s="54"/>
      <c r="W717" s="54"/>
    </row>
    <row r="718" ht="15.75" customHeight="1">
      <c r="A718" s="29"/>
      <c r="B718" s="16"/>
      <c r="C718" s="29"/>
      <c r="D718" s="29"/>
      <c r="E718" s="29"/>
      <c r="F718" s="29"/>
      <c r="G718" s="29"/>
      <c r="H718" s="41"/>
      <c r="I718" s="41"/>
      <c r="J718" s="51"/>
      <c r="K718" s="29"/>
      <c r="L718" s="29"/>
      <c r="M718" s="29"/>
      <c r="N718" s="29"/>
      <c r="O718" s="52"/>
      <c r="P718" s="52"/>
      <c r="Q718" s="52"/>
      <c r="R718" s="53"/>
      <c r="S718" s="52"/>
      <c r="T718" s="52"/>
      <c r="U718" s="29"/>
      <c r="V718" s="54"/>
      <c r="W718" s="54"/>
    </row>
    <row r="719" ht="15.75" customHeight="1">
      <c r="A719" s="29"/>
      <c r="B719" s="16"/>
      <c r="C719" s="29"/>
      <c r="D719" s="29"/>
      <c r="E719" s="29"/>
      <c r="F719" s="29"/>
      <c r="G719" s="29"/>
      <c r="H719" s="41"/>
      <c r="I719" s="41"/>
      <c r="J719" s="51"/>
      <c r="K719" s="29"/>
      <c r="L719" s="29"/>
      <c r="M719" s="29"/>
      <c r="N719" s="29"/>
      <c r="O719" s="52"/>
      <c r="P719" s="52"/>
      <c r="Q719" s="52"/>
      <c r="R719" s="53"/>
      <c r="S719" s="52"/>
      <c r="T719" s="52"/>
      <c r="U719" s="29"/>
      <c r="V719" s="54"/>
      <c r="W719" s="54"/>
    </row>
    <row r="720" ht="15.75" customHeight="1">
      <c r="A720" s="29"/>
      <c r="B720" s="16"/>
      <c r="C720" s="29"/>
      <c r="D720" s="29"/>
      <c r="E720" s="29"/>
      <c r="F720" s="29"/>
      <c r="G720" s="29"/>
      <c r="H720" s="41"/>
      <c r="I720" s="41"/>
      <c r="J720" s="51"/>
      <c r="K720" s="29"/>
      <c r="L720" s="29"/>
      <c r="M720" s="29"/>
      <c r="N720" s="29"/>
      <c r="O720" s="52"/>
      <c r="P720" s="52"/>
      <c r="Q720" s="52"/>
      <c r="R720" s="53"/>
      <c r="S720" s="52"/>
      <c r="T720" s="52"/>
      <c r="U720" s="29"/>
      <c r="V720" s="54"/>
      <c r="W720" s="54"/>
    </row>
    <row r="721" ht="15.75" customHeight="1">
      <c r="A721" s="29"/>
      <c r="B721" s="16"/>
      <c r="C721" s="29"/>
      <c r="D721" s="29"/>
      <c r="E721" s="29"/>
      <c r="F721" s="29"/>
      <c r="G721" s="29"/>
      <c r="H721" s="41"/>
      <c r="I721" s="41"/>
      <c r="J721" s="51"/>
      <c r="K721" s="29"/>
      <c r="L721" s="29"/>
      <c r="M721" s="29"/>
      <c r="N721" s="29"/>
      <c r="O721" s="52"/>
      <c r="P721" s="52"/>
      <c r="Q721" s="52"/>
      <c r="R721" s="53"/>
      <c r="S721" s="52"/>
      <c r="T721" s="52"/>
      <c r="U721" s="29"/>
      <c r="V721" s="54"/>
      <c r="W721" s="54"/>
    </row>
    <row r="722" ht="15.75" customHeight="1">
      <c r="A722" s="29"/>
      <c r="B722" s="16"/>
      <c r="C722" s="29"/>
      <c r="D722" s="29"/>
      <c r="E722" s="29"/>
      <c r="F722" s="29"/>
      <c r="G722" s="29"/>
      <c r="H722" s="41"/>
      <c r="I722" s="41"/>
      <c r="J722" s="51"/>
      <c r="K722" s="29"/>
      <c r="L722" s="29"/>
      <c r="M722" s="29"/>
      <c r="N722" s="29"/>
      <c r="O722" s="52"/>
      <c r="P722" s="52"/>
      <c r="Q722" s="52"/>
      <c r="R722" s="53"/>
      <c r="S722" s="52"/>
      <c r="T722" s="52"/>
      <c r="U722" s="29"/>
      <c r="V722" s="54"/>
      <c r="W722" s="54"/>
    </row>
    <row r="723" ht="15.75" customHeight="1">
      <c r="A723" s="29"/>
      <c r="B723" s="16"/>
      <c r="C723" s="29"/>
      <c r="D723" s="29"/>
      <c r="E723" s="29"/>
      <c r="F723" s="29"/>
      <c r="G723" s="29"/>
      <c r="H723" s="41"/>
      <c r="I723" s="41"/>
      <c r="J723" s="51"/>
      <c r="K723" s="29"/>
      <c r="L723" s="29"/>
      <c r="M723" s="29"/>
      <c r="N723" s="29"/>
      <c r="O723" s="52"/>
      <c r="P723" s="52"/>
      <c r="Q723" s="52"/>
      <c r="R723" s="53"/>
      <c r="S723" s="52"/>
      <c r="T723" s="52"/>
      <c r="U723" s="29"/>
      <c r="V723" s="54"/>
      <c r="W723" s="54"/>
    </row>
    <row r="724" ht="15.75" customHeight="1">
      <c r="A724" s="29"/>
      <c r="B724" s="16"/>
      <c r="C724" s="29"/>
      <c r="D724" s="29"/>
      <c r="E724" s="29"/>
      <c r="F724" s="29"/>
      <c r="G724" s="29"/>
      <c r="H724" s="41"/>
      <c r="I724" s="41"/>
      <c r="J724" s="51"/>
      <c r="K724" s="29"/>
      <c r="L724" s="29"/>
      <c r="M724" s="29"/>
      <c r="N724" s="29"/>
      <c r="O724" s="52"/>
      <c r="P724" s="52"/>
      <c r="Q724" s="52"/>
      <c r="R724" s="53"/>
      <c r="S724" s="52"/>
      <c r="T724" s="52"/>
      <c r="U724" s="29"/>
      <c r="V724" s="54"/>
      <c r="W724" s="54"/>
    </row>
    <row r="725" ht="15.75" customHeight="1">
      <c r="A725" s="29"/>
      <c r="B725" s="16"/>
      <c r="C725" s="29"/>
      <c r="D725" s="29"/>
      <c r="E725" s="29"/>
      <c r="F725" s="29"/>
      <c r="G725" s="29"/>
      <c r="H725" s="41"/>
      <c r="I725" s="41"/>
      <c r="J725" s="51"/>
      <c r="K725" s="29"/>
      <c r="L725" s="29"/>
      <c r="M725" s="29"/>
      <c r="N725" s="29"/>
      <c r="O725" s="52"/>
      <c r="P725" s="52"/>
      <c r="Q725" s="52"/>
      <c r="R725" s="53"/>
      <c r="S725" s="52"/>
      <c r="T725" s="52"/>
      <c r="U725" s="29"/>
      <c r="V725" s="54"/>
      <c r="W725" s="54"/>
    </row>
    <row r="726" ht="15.75" customHeight="1">
      <c r="A726" s="29"/>
      <c r="B726" s="16"/>
      <c r="C726" s="29"/>
      <c r="D726" s="29"/>
      <c r="E726" s="29"/>
      <c r="F726" s="29"/>
      <c r="G726" s="29"/>
      <c r="H726" s="41"/>
      <c r="I726" s="41"/>
      <c r="J726" s="51"/>
      <c r="K726" s="29"/>
      <c r="L726" s="29"/>
      <c r="M726" s="29"/>
      <c r="N726" s="29"/>
      <c r="O726" s="52"/>
      <c r="P726" s="52"/>
      <c r="Q726" s="52"/>
      <c r="R726" s="53"/>
      <c r="S726" s="52"/>
      <c r="T726" s="52"/>
      <c r="U726" s="29"/>
      <c r="V726" s="54"/>
      <c r="W726" s="54"/>
    </row>
    <row r="727" ht="15.75" customHeight="1">
      <c r="A727" s="29"/>
      <c r="B727" s="16"/>
      <c r="C727" s="29"/>
      <c r="D727" s="29"/>
      <c r="E727" s="29"/>
      <c r="F727" s="29"/>
      <c r="G727" s="29"/>
      <c r="H727" s="41"/>
      <c r="I727" s="41"/>
      <c r="J727" s="51"/>
      <c r="K727" s="29"/>
      <c r="L727" s="29"/>
      <c r="M727" s="29"/>
      <c r="N727" s="29"/>
      <c r="O727" s="52"/>
      <c r="P727" s="52"/>
      <c r="Q727" s="52"/>
      <c r="R727" s="53"/>
      <c r="S727" s="52"/>
      <c r="T727" s="52"/>
      <c r="U727" s="29"/>
      <c r="V727" s="54"/>
      <c r="W727" s="54"/>
    </row>
    <row r="728" ht="15.75" customHeight="1">
      <c r="A728" s="29"/>
      <c r="B728" s="16"/>
      <c r="C728" s="29"/>
      <c r="D728" s="29"/>
      <c r="E728" s="29"/>
      <c r="F728" s="29"/>
      <c r="G728" s="29"/>
      <c r="H728" s="41"/>
      <c r="I728" s="41"/>
      <c r="J728" s="51"/>
      <c r="K728" s="29"/>
      <c r="L728" s="29"/>
      <c r="M728" s="29"/>
      <c r="N728" s="29"/>
      <c r="O728" s="52"/>
      <c r="P728" s="52"/>
      <c r="Q728" s="52"/>
      <c r="R728" s="53"/>
      <c r="S728" s="52"/>
      <c r="T728" s="52"/>
      <c r="U728" s="29"/>
      <c r="V728" s="54"/>
      <c r="W728" s="54"/>
    </row>
    <row r="729" ht="15.75" customHeight="1">
      <c r="A729" s="29"/>
      <c r="B729" s="16"/>
      <c r="C729" s="29"/>
      <c r="D729" s="29"/>
      <c r="E729" s="29"/>
      <c r="F729" s="29"/>
      <c r="G729" s="29"/>
      <c r="H729" s="41"/>
      <c r="I729" s="41"/>
      <c r="J729" s="51"/>
      <c r="K729" s="29"/>
      <c r="L729" s="29"/>
      <c r="M729" s="29"/>
      <c r="N729" s="29"/>
      <c r="O729" s="52"/>
      <c r="P729" s="52"/>
      <c r="Q729" s="52"/>
      <c r="R729" s="53"/>
      <c r="S729" s="52"/>
      <c r="T729" s="52"/>
      <c r="U729" s="29"/>
      <c r="V729" s="54"/>
      <c r="W729" s="54"/>
    </row>
    <row r="730" ht="15.75" customHeight="1">
      <c r="A730" s="29"/>
      <c r="B730" s="16"/>
      <c r="C730" s="29"/>
      <c r="D730" s="29"/>
      <c r="E730" s="29"/>
      <c r="F730" s="29"/>
      <c r="G730" s="29"/>
      <c r="H730" s="41"/>
      <c r="I730" s="41"/>
      <c r="J730" s="51"/>
      <c r="K730" s="29"/>
      <c r="L730" s="29"/>
      <c r="M730" s="29"/>
      <c r="N730" s="29"/>
      <c r="O730" s="52"/>
      <c r="P730" s="52"/>
      <c r="Q730" s="52"/>
      <c r="R730" s="53"/>
      <c r="S730" s="52"/>
      <c r="T730" s="52"/>
      <c r="U730" s="29"/>
      <c r="V730" s="54"/>
      <c r="W730" s="54"/>
    </row>
    <row r="731" ht="15.75" customHeight="1">
      <c r="A731" s="29"/>
      <c r="B731" s="16"/>
      <c r="C731" s="29"/>
      <c r="D731" s="29"/>
      <c r="E731" s="29"/>
      <c r="F731" s="29"/>
      <c r="G731" s="29"/>
      <c r="H731" s="41"/>
      <c r="I731" s="41"/>
      <c r="J731" s="51"/>
      <c r="K731" s="29"/>
      <c r="L731" s="29"/>
      <c r="M731" s="29"/>
      <c r="N731" s="29"/>
      <c r="O731" s="52"/>
      <c r="P731" s="52"/>
      <c r="Q731" s="52"/>
      <c r="R731" s="53"/>
      <c r="S731" s="52"/>
      <c r="T731" s="52"/>
      <c r="U731" s="29"/>
      <c r="V731" s="54"/>
      <c r="W731" s="54"/>
    </row>
    <row r="732" ht="15.75" customHeight="1">
      <c r="A732" s="29"/>
      <c r="B732" s="16"/>
      <c r="C732" s="29"/>
      <c r="D732" s="29"/>
      <c r="E732" s="29"/>
      <c r="F732" s="29"/>
      <c r="G732" s="29"/>
      <c r="H732" s="41"/>
      <c r="I732" s="41"/>
      <c r="J732" s="51"/>
      <c r="K732" s="29"/>
      <c r="L732" s="29"/>
      <c r="M732" s="29"/>
      <c r="N732" s="29"/>
      <c r="O732" s="52"/>
      <c r="P732" s="52"/>
      <c r="Q732" s="52"/>
      <c r="R732" s="53"/>
      <c r="S732" s="52"/>
      <c r="T732" s="52"/>
      <c r="U732" s="29"/>
      <c r="V732" s="54"/>
      <c r="W732" s="54"/>
    </row>
    <row r="733" ht="15.75" customHeight="1">
      <c r="A733" s="29"/>
      <c r="B733" s="16"/>
      <c r="C733" s="29"/>
      <c r="D733" s="29"/>
      <c r="E733" s="29"/>
      <c r="F733" s="29"/>
      <c r="G733" s="29"/>
      <c r="H733" s="41"/>
      <c r="I733" s="41"/>
      <c r="J733" s="51"/>
      <c r="K733" s="29"/>
      <c r="L733" s="29"/>
      <c r="M733" s="29"/>
      <c r="N733" s="29"/>
      <c r="O733" s="52"/>
      <c r="P733" s="52"/>
      <c r="Q733" s="52"/>
      <c r="R733" s="53"/>
      <c r="S733" s="52"/>
      <c r="T733" s="52"/>
      <c r="U733" s="29"/>
      <c r="V733" s="54"/>
      <c r="W733" s="54"/>
    </row>
    <row r="734" ht="15.75" customHeight="1">
      <c r="A734" s="29"/>
      <c r="B734" s="16"/>
      <c r="C734" s="29"/>
      <c r="D734" s="29"/>
      <c r="E734" s="29"/>
      <c r="F734" s="29"/>
      <c r="G734" s="29"/>
      <c r="H734" s="41"/>
      <c r="I734" s="41"/>
      <c r="J734" s="51"/>
      <c r="K734" s="29"/>
      <c r="L734" s="29"/>
      <c r="M734" s="29"/>
      <c r="N734" s="29"/>
      <c r="O734" s="52"/>
      <c r="P734" s="52"/>
      <c r="Q734" s="52"/>
      <c r="R734" s="53"/>
      <c r="S734" s="52"/>
      <c r="T734" s="52"/>
      <c r="U734" s="29"/>
      <c r="V734" s="54"/>
      <c r="W734" s="54"/>
    </row>
    <row r="735" ht="15.75" customHeight="1">
      <c r="A735" s="29"/>
      <c r="B735" s="16"/>
      <c r="C735" s="29"/>
      <c r="D735" s="29"/>
      <c r="E735" s="29"/>
      <c r="F735" s="29"/>
      <c r="G735" s="29"/>
      <c r="H735" s="41"/>
      <c r="I735" s="41"/>
      <c r="J735" s="51"/>
      <c r="K735" s="29"/>
      <c r="L735" s="29"/>
      <c r="M735" s="29"/>
      <c r="N735" s="29"/>
      <c r="O735" s="52"/>
      <c r="P735" s="52"/>
      <c r="Q735" s="52"/>
      <c r="R735" s="53"/>
      <c r="S735" s="52"/>
      <c r="T735" s="52"/>
      <c r="U735" s="29"/>
      <c r="V735" s="54"/>
      <c r="W735" s="54"/>
    </row>
    <row r="736" ht="15.75" customHeight="1">
      <c r="A736" s="29"/>
      <c r="B736" s="16"/>
      <c r="C736" s="29"/>
      <c r="D736" s="29"/>
      <c r="E736" s="29"/>
      <c r="F736" s="29"/>
      <c r="G736" s="29"/>
      <c r="H736" s="41"/>
      <c r="I736" s="41"/>
      <c r="J736" s="51"/>
      <c r="K736" s="29"/>
      <c r="L736" s="29"/>
      <c r="M736" s="29"/>
      <c r="N736" s="29"/>
      <c r="O736" s="52"/>
      <c r="P736" s="52"/>
      <c r="Q736" s="52"/>
      <c r="R736" s="53"/>
      <c r="S736" s="52"/>
      <c r="T736" s="52"/>
      <c r="U736" s="29"/>
      <c r="V736" s="54"/>
      <c r="W736" s="54"/>
    </row>
    <row r="737" ht="15.75" customHeight="1">
      <c r="A737" s="29"/>
      <c r="B737" s="16"/>
      <c r="C737" s="29"/>
      <c r="D737" s="29"/>
      <c r="E737" s="29"/>
      <c r="F737" s="29"/>
      <c r="G737" s="29"/>
      <c r="H737" s="41"/>
      <c r="I737" s="41"/>
      <c r="J737" s="51"/>
      <c r="K737" s="29"/>
      <c r="L737" s="29"/>
      <c r="M737" s="29"/>
      <c r="N737" s="29"/>
      <c r="O737" s="52"/>
      <c r="P737" s="52"/>
      <c r="Q737" s="52"/>
      <c r="R737" s="53"/>
      <c r="S737" s="52"/>
      <c r="T737" s="52"/>
      <c r="U737" s="29"/>
      <c r="V737" s="54"/>
      <c r="W737" s="54"/>
    </row>
    <row r="738" ht="15.75" customHeight="1">
      <c r="A738" s="29"/>
      <c r="B738" s="16"/>
      <c r="C738" s="29"/>
      <c r="D738" s="29"/>
      <c r="E738" s="29"/>
      <c r="F738" s="29"/>
      <c r="G738" s="29"/>
      <c r="H738" s="41"/>
      <c r="I738" s="41"/>
      <c r="J738" s="51"/>
      <c r="K738" s="29"/>
      <c r="L738" s="29"/>
      <c r="M738" s="29"/>
      <c r="N738" s="29"/>
      <c r="O738" s="52"/>
      <c r="P738" s="52"/>
      <c r="Q738" s="52"/>
      <c r="R738" s="53"/>
      <c r="S738" s="52"/>
      <c r="T738" s="52"/>
      <c r="U738" s="29"/>
      <c r="V738" s="54"/>
      <c r="W738" s="54"/>
    </row>
    <row r="739" ht="15.75" customHeight="1">
      <c r="A739" s="29"/>
      <c r="B739" s="16"/>
      <c r="C739" s="29"/>
      <c r="D739" s="29"/>
      <c r="E739" s="29"/>
      <c r="F739" s="29"/>
      <c r="G739" s="29"/>
      <c r="H739" s="41"/>
      <c r="I739" s="41"/>
      <c r="J739" s="51"/>
      <c r="K739" s="29"/>
      <c r="L739" s="29"/>
      <c r="M739" s="29"/>
      <c r="N739" s="29"/>
      <c r="O739" s="52"/>
      <c r="P739" s="52"/>
      <c r="Q739" s="52"/>
      <c r="R739" s="53"/>
      <c r="S739" s="52"/>
      <c r="T739" s="52"/>
      <c r="U739" s="29"/>
      <c r="V739" s="54"/>
      <c r="W739" s="54"/>
    </row>
    <row r="740" ht="15.75" customHeight="1">
      <c r="A740" s="29"/>
      <c r="B740" s="16"/>
      <c r="C740" s="29"/>
      <c r="D740" s="29"/>
      <c r="E740" s="29"/>
      <c r="F740" s="29"/>
      <c r="G740" s="29"/>
      <c r="H740" s="41"/>
      <c r="I740" s="41"/>
      <c r="J740" s="51"/>
      <c r="K740" s="29"/>
      <c r="L740" s="29"/>
      <c r="M740" s="29"/>
      <c r="N740" s="29"/>
      <c r="O740" s="52"/>
      <c r="P740" s="52"/>
      <c r="Q740" s="52"/>
      <c r="R740" s="53"/>
      <c r="S740" s="52"/>
      <c r="T740" s="52"/>
      <c r="U740" s="29"/>
      <c r="V740" s="54"/>
      <c r="W740" s="54"/>
    </row>
    <row r="741" ht="15.75" customHeight="1">
      <c r="A741" s="29"/>
      <c r="B741" s="16"/>
      <c r="C741" s="29"/>
      <c r="D741" s="29"/>
      <c r="E741" s="29"/>
      <c r="F741" s="29"/>
      <c r="G741" s="29"/>
      <c r="H741" s="41"/>
      <c r="I741" s="41"/>
      <c r="J741" s="51"/>
      <c r="K741" s="29"/>
      <c r="L741" s="29"/>
      <c r="M741" s="29"/>
      <c r="N741" s="29"/>
      <c r="O741" s="52"/>
      <c r="P741" s="52"/>
      <c r="Q741" s="52"/>
      <c r="R741" s="53"/>
      <c r="S741" s="52"/>
      <c r="T741" s="52"/>
      <c r="U741" s="29"/>
      <c r="V741" s="54"/>
      <c r="W741" s="54"/>
    </row>
    <row r="742" ht="15.75" customHeight="1">
      <c r="A742" s="29"/>
      <c r="B742" s="16"/>
      <c r="C742" s="29"/>
      <c r="D742" s="29"/>
      <c r="E742" s="29"/>
      <c r="F742" s="29"/>
      <c r="G742" s="29"/>
      <c r="H742" s="41"/>
      <c r="I742" s="41"/>
      <c r="J742" s="51"/>
      <c r="K742" s="29"/>
      <c r="L742" s="29"/>
      <c r="M742" s="29"/>
      <c r="N742" s="29"/>
      <c r="O742" s="52"/>
      <c r="P742" s="52"/>
      <c r="Q742" s="52"/>
      <c r="R742" s="53"/>
      <c r="S742" s="52"/>
      <c r="T742" s="52"/>
      <c r="U742" s="29"/>
      <c r="V742" s="54"/>
      <c r="W742" s="54"/>
    </row>
    <row r="743" ht="15.75" customHeight="1">
      <c r="A743" s="29"/>
      <c r="B743" s="16"/>
      <c r="C743" s="29"/>
      <c r="D743" s="29"/>
      <c r="E743" s="29"/>
      <c r="F743" s="29"/>
      <c r="G743" s="29"/>
      <c r="H743" s="41"/>
      <c r="I743" s="41"/>
      <c r="J743" s="51"/>
      <c r="K743" s="29"/>
      <c r="L743" s="29"/>
      <c r="M743" s="29"/>
      <c r="N743" s="29"/>
      <c r="O743" s="52"/>
      <c r="P743" s="52"/>
      <c r="Q743" s="52"/>
      <c r="R743" s="53"/>
      <c r="S743" s="52"/>
      <c r="T743" s="52"/>
      <c r="U743" s="29"/>
      <c r="V743" s="54"/>
      <c r="W743" s="54"/>
    </row>
    <row r="744" ht="15.75" customHeight="1">
      <c r="A744" s="29"/>
      <c r="B744" s="16"/>
      <c r="C744" s="29"/>
      <c r="D744" s="29"/>
      <c r="E744" s="29"/>
      <c r="F744" s="29"/>
      <c r="G744" s="29"/>
      <c r="H744" s="41"/>
      <c r="I744" s="41"/>
      <c r="J744" s="51"/>
      <c r="K744" s="29"/>
      <c r="L744" s="29"/>
      <c r="M744" s="29"/>
      <c r="N744" s="29"/>
      <c r="O744" s="52"/>
      <c r="P744" s="52"/>
      <c r="Q744" s="52"/>
      <c r="R744" s="53"/>
      <c r="S744" s="52"/>
      <c r="T744" s="52"/>
      <c r="U744" s="29"/>
      <c r="V744" s="54"/>
      <c r="W744" s="54"/>
    </row>
    <row r="745" ht="15.75" customHeight="1">
      <c r="A745" s="29"/>
      <c r="B745" s="16"/>
      <c r="C745" s="29"/>
      <c r="D745" s="29"/>
      <c r="E745" s="29"/>
      <c r="F745" s="29"/>
      <c r="G745" s="29"/>
      <c r="H745" s="41"/>
      <c r="I745" s="41"/>
      <c r="J745" s="51"/>
      <c r="K745" s="29"/>
      <c r="L745" s="29"/>
      <c r="M745" s="29"/>
      <c r="N745" s="29"/>
      <c r="O745" s="52"/>
      <c r="P745" s="52"/>
      <c r="Q745" s="52"/>
      <c r="R745" s="53"/>
      <c r="S745" s="52"/>
      <c r="T745" s="52"/>
      <c r="U745" s="29"/>
      <c r="V745" s="54"/>
      <c r="W745" s="54"/>
    </row>
    <row r="746" ht="15.75" customHeight="1">
      <c r="A746" s="29"/>
      <c r="B746" s="16"/>
      <c r="C746" s="29"/>
      <c r="D746" s="29"/>
      <c r="E746" s="29"/>
      <c r="F746" s="29"/>
      <c r="G746" s="29"/>
      <c r="H746" s="41"/>
      <c r="I746" s="41"/>
      <c r="J746" s="51"/>
      <c r="K746" s="29"/>
      <c r="L746" s="29"/>
      <c r="M746" s="29"/>
      <c r="N746" s="29"/>
      <c r="O746" s="52"/>
      <c r="P746" s="52"/>
      <c r="Q746" s="52"/>
      <c r="R746" s="53"/>
      <c r="S746" s="52"/>
      <c r="T746" s="52"/>
      <c r="U746" s="29"/>
      <c r="V746" s="54"/>
      <c r="W746" s="54"/>
    </row>
    <row r="747" ht="15.75" customHeight="1">
      <c r="A747" s="29"/>
      <c r="B747" s="16"/>
      <c r="C747" s="29"/>
      <c r="D747" s="29"/>
      <c r="E747" s="29"/>
      <c r="F747" s="29"/>
      <c r="G747" s="29"/>
      <c r="H747" s="41"/>
      <c r="I747" s="41"/>
      <c r="J747" s="51"/>
      <c r="K747" s="29"/>
      <c r="L747" s="29"/>
      <c r="M747" s="29"/>
      <c r="N747" s="29"/>
      <c r="O747" s="52"/>
      <c r="P747" s="52"/>
      <c r="Q747" s="52"/>
      <c r="R747" s="53"/>
      <c r="S747" s="52"/>
      <c r="T747" s="52"/>
      <c r="U747" s="29"/>
      <c r="V747" s="54"/>
      <c r="W747" s="54"/>
    </row>
    <row r="748" ht="15.75" customHeight="1">
      <c r="A748" s="29"/>
      <c r="B748" s="16"/>
      <c r="C748" s="29"/>
      <c r="D748" s="29"/>
      <c r="E748" s="29"/>
      <c r="F748" s="29"/>
      <c r="G748" s="29"/>
      <c r="H748" s="41"/>
      <c r="I748" s="41"/>
      <c r="J748" s="51"/>
      <c r="K748" s="29"/>
      <c r="L748" s="29"/>
      <c r="M748" s="29"/>
      <c r="N748" s="29"/>
      <c r="O748" s="52"/>
      <c r="P748" s="52"/>
      <c r="Q748" s="52"/>
      <c r="R748" s="53"/>
      <c r="S748" s="52"/>
      <c r="T748" s="52"/>
      <c r="U748" s="29"/>
      <c r="V748" s="54"/>
      <c r="W748" s="54"/>
    </row>
    <row r="749" ht="15.75" customHeight="1">
      <c r="A749" s="29"/>
      <c r="B749" s="16"/>
      <c r="C749" s="29"/>
      <c r="D749" s="29"/>
      <c r="E749" s="29"/>
      <c r="F749" s="29"/>
      <c r="G749" s="29"/>
      <c r="H749" s="41"/>
      <c r="I749" s="41"/>
      <c r="J749" s="51"/>
      <c r="K749" s="29"/>
      <c r="L749" s="29"/>
      <c r="M749" s="29"/>
      <c r="N749" s="29"/>
      <c r="O749" s="52"/>
      <c r="P749" s="52"/>
      <c r="Q749" s="52"/>
      <c r="R749" s="53"/>
      <c r="S749" s="52"/>
      <c r="T749" s="52"/>
      <c r="U749" s="29"/>
      <c r="V749" s="54"/>
      <c r="W749" s="54"/>
    </row>
    <row r="750" ht="15.75" customHeight="1">
      <c r="A750" s="29"/>
      <c r="B750" s="16"/>
      <c r="C750" s="29"/>
      <c r="D750" s="29"/>
      <c r="E750" s="29"/>
      <c r="F750" s="29"/>
      <c r="G750" s="29"/>
      <c r="H750" s="41"/>
      <c r="I750" s="41"/>
      <c r="J750" s="51"/>
      <c r="K750" s="29"/>
      <c r="L750" s="29"/>
      <c r="M750" s="29"/>
      <c r="N750" s="29"/>
      <c r="O750" s="52"/>
      <c r="P750" s="52"/>
      <c r="Q750" s="52"/>
      <c r="R750" s="53"/>
      <c r="S750" s="52"/>
      <c r="T750" s="52"/>
      <c r="U750" s="29"/>
      <c r="V750" s="54"/>
      <c r="W750" s="54"/>
    </row>
    <row r="751" ht="15.75" customHeight="1">
      <c r="A751" s="29"/>
      <c r="B751" s="16"/>
      <c r="C751" s="29"/>
      <c r="D751" s="29"/>
      <c r="E751" s="29"/>
      <c r="F751" s="29"/>
      <c r="G751" s="29"/>
      <c r="H751" s="41"/>
      <c r="I751" s="41"/>
      <c r="J751" s="51"/>
      <c r="K751" s="29"/>
      <c r="L751" s="29"/>
      <c r="M751" s="29"/>
      <c r="N751" s="29"/>
      <c r="O751" s="52"/>
      <c r="P751" s="52"/>
      <c r="Q751" s="52"/>
      <c r="R751" s="53"/>
      <c r="S751" s="52"/>
      <c r="T751" s="52"/>
      <c r="U751" s="29"/>
      <c r="V751" s="54"/>
      <c r="W751" s="54"/>
    </row>
    <row r="752" ht="15.75" customHeight="1">
      <c r="A752" s="29"/>
      <c r="B752" s="16"/>
      <c r="C752" s="29"/>
      <c r="D752" s="29"/>
      <c r="E752" s="29"/>
      <c r="F752" s="29"/>
      <c r="G752" s="29"/>
      <c r="H752" s="41"/>
      <c r="I752" s="41"/>
      <c r="J752" s="51"/>
      <c r="K752" s="29"/>
      <c r="L752" s="29"/>
      <c r="M752" s="29"/>
      <c r="N752" s="29"/>
      <c r="O752" s="52"/>
      <c r="P752" s="52"/>
      <c r="Q752" s="52"/>
      <c r="R752" s="53"/>
      <c r="S752" s="52"/>
      <c r="T752" s="52"/>
      <c r="U752" s="29"/>
      <c r="V752" s="54"/>
      <c r="W752" s="54"/>
    </row>
    <row r="753" ht="15.75" customHeight="1">
      <c r="A753" s="29"/>
      <c r="B753" s="16"/>
      <c r="C753" s="29"/>
      <c r="D753" s="29"/>
      <c r="E753" s="29"/>
      <c r="F753" s="29"/>
      <c r="G753" s="29"/>
      <c r="H753" s="41"/>
      <c r="I753" s="41"/>
      <c r="J753" s="51"/>
      <c r="K753" s="29"/>
      <c r="L753" s="29"/>
      <c r="M753" s="29"/>
      <c r="N753" s="29"/>
      <c r="O753" s="52"/>
      <c r="P753" s="52"/>
      <c r="Q753" s="52"/>
      <c r="R753" s="53"/>
      <c r="S753" s="52"/>
      <c r="T753" s="52"/>
      <c r="U753" s="29"/>
      <c r="V753" s="54"/>
      <c r="W753" s="54"/>
    </row>
    <row r="754" ht="15.75" customHeight="1">
      <c r="A754" s="29"/>
      <c r="B754" s="16"/>
      <c r="C754" s="29"/>
      <c r="D754" s="29"/>
      <c r="E754" s="29"/>
      <c r="F754" s="29"/>
      <c r="G754" s="29"/>
      <c r="H754" s="41"/>
      <c r="I754" s="41"/>
      <c r="J754" s="51"/>
      <c r="K754" s="29"/>
      <c r="L754" s="29"/>
      <c r="M754" s="29"/>
      <c r="N754" s="29"/>
      <c r="O754" s="52"/>
      <c r="P754" s="52"/>
      <c r="Q754" s="52"/>
      <c r="R754" s="53"/>
      <c r="S754" s="52"/>
      <c r="T754" s="52"/>
      <c r="U754" s="29"/>
      <c r="V754" s="54"/>
      <c r="W754" s="54"/>
    </row>
    <row r="755" ht="15.75" customHeight="1">
      <c r="A755" s="29"/>
      <c r="B755" s="16"/>
      <c r="C755" s="29"/>
      <c r="D755" s="29"/>
      <c r="E755" s="29"/>
      <c r="F755" s="29"/>
      <c r="G755" s="29"/>
      <c r="H755" s="41"/>
      <c r="I755" s="41"/>
      <c r="J755" s="51"/>
      <c r="K755" s="29"/>
      <c r="L755" s="29"/>
      <c r="M755" s="29"/>
      <c r="N755" s="29"/>
      <c r="O755" s="52"/>
      <c r="P755" s="52"/>
      <c r="Q755" s="52"/>
      <c r="R755" s="53"/>
      <c r="S755" s="52"/>
      <c r="T755" s="52"/>
      <c r="U755" s="29"/>
      <c r="V755" s="54"/>
      <c r="W755" s="54"/>
    </row>
    <row r="756" ht="15.75" customHeight="1">
      <c r="A756" s="29"/>
      <c r="B756" s="16"/>
      <c r="C756" s="29"/>
      <c r="D756" s="29"/>
      <c r="E756" s="29"/>
      <c r="F756" s="29"/>
      <c r="G756" s="29"/>
      <c r="H756" s="41"/>
      <c r="I756" s="41"/>
      <c r="J756" s="51"/>
      <c r="K756" s="29"/>
      <c r="L756" s="29"/>
      <c r="M756" s="29"/>
      <c r="N756" s="29"/>
      <c r="O756" s="52"/>
      <c r="P756" s="52"/>
      <c r="Q756" s="52"/>
      <c r="R756" s="53"/>
      <c r="S756" s="52"/>
      <c r="T756" s="52"/>
      <c r="U756" s="29"/>
      <c r="V756" s="54"/>
      <c r="W756" s="54"/>
    </row>
    <row r="757" ht="15.75" customHeight="1">
      <c r="A757" s="29"/>
      <c r="B757" s="16"/>
      <c r="C757" s="29"/>
      <c r="D757" s="29"/>
      <c r="E757" s="29"/>
      <c r="F757" s="29"/>
      <c r="G757" s="29"/>
      <c r="H757" s="41"/>
      <c r="I757" s="41"/>
      <c r="J757" s="51"/>
      <c r="K757" s="29"/>
      <c r="L757" s="29"/>
      <c r="M757" s="29"/>
      <c r="N757" s="29"/>
      <c r="O757" s="52"/>
      <c r="P757" s="52"/>
      <c r="Q757" s="52"/>
      <c r="R757" s="53"/>
      <c r="S757" s="52"/>
      <c r="T757" s="52"/>
      <c r="U757" s="29"/>
      <c r="V757" s="54"/>
      <c r="W757" s="54"/>
    </row>
    <row r="758" ht="15.75" customHeight="1">
      <c r="A758" s="29"/>
      <c r="B758" s="16"/>
      <c r="C758" s="29"/>
      <c r="D758" s="29"/>
      <c r="E758" s="29"/>
      <c r="F758" s="29"/>
      <c r="G758" s="29"/>
      <c r="H758" s="41"/>
      <c r="I758" s="41"/>
      <c r="J758" s="51"/>
      <c r="K758" s="29"/>
      <c r="L758" s="29"/>
      <c r="M758" s="29"/>
      <c r="N758" s="29"/>
      <c r="O758" s="52"/>
      <c r="P758" s="52"/>
      <c r="Q758" s="52"/>
      <c r="R758" s="53"/>
      <c r="S758" s="52"/>
      <c r="T758" s="52"/>
      <c r="U758" s="29"/>
      <c r="V758" s="54"/>
      <c r="W758" s="54"/>
    </row>
    <row r="759" ht="15.75" customHeight="1">
      <c r="A759" s="29"/>
      <c r="B759" s="16"/>
      <c r="C759" s="29"/>
      <c r="D759" s="29"/>
      <c r="E759" s="29"/>
      <c r="F759" s="29"/>
      <c r="G759" s="29"/>
      <c r="H759" s="41"/>
      <c r="I759" s="41"/>
      <c r="J759" s="51"/>
      <c r="K759" s="29"/>
      <c r="L759" s="29"/>
      <c r="M759" s="29"/>
      <c r="N759" s="29"/>
      <c r="O759" s="52"/>
      <c r="P759" s="52"/>
      <c r="Q759" s="52"/>
      <c r="R759" s="53"/>
      <c r="S759" s="52"/>
      <c r="T759" s="52"/>
      <c r="U759" s="29"/>
      <c r="V759" s="54"/>
      <c r="W759" s="54"/>
    </row>
    <row r="760" ht="15.75" customHeight="1">
      <c r="A760" s="29"/>
      <c r="B760" s="16"/>
      <c r="C760" s="29"/>
      <c r="D760" s="29"/>
      <c r="E760" s="29"/>
      <c r="F760" s="29"/>
      <c r="G760" s="29"/>
      <c r="H760" s="41"/>
      <c r="I760" s="41"/>
      <c r="J760" s="51"/>
      <c r="K760" s="29"/>
      <c r="L760" s="29"/>
      <c r="M760" s="29"/>
      <c r="N760" s="29"/>
      <c r="O760" s="52"/>
      <c r="P760" s="52"/>
      <c r="Q760" s="52"/>
      <c r="R760" s="53"/>
      <c r="S760" s="52"/>
      <c r="T760" s="52"/>
      <c r="U760" s="29"/>
      <c r="V760" s="54"/>
      <c r="W760" s="54"/>
    </row>
    <row r="761" ht="15.75" customHeight="1">
      <c r="A761" s="29"/>
      <c r="B761" s="16"/>
      <c r="C761" s="29"/>
      <c r="D761" s="29"/>
      <c r="E761" s="29"/>
      <c r="F761" s="29"/>
      <c r="G761" s="29"/>
      <c r="H761" s="41"/>
      <c r="I761" s="41"/>
      <c r="J761" s="51"/>
      <c r="K761" s="29"/>
      <c r="L761" s="29"/>
      <c r="M761" s="29"/>
      <c r="N761" s="29"/>
      <c r="O761" s="52"/>
      <c r="P761" s="52"/>
      <c r="Q761" s="52"/>
      <c r="R761" s="53"/>
      <c r="S761" s="52"/>
      <c r="T761" s="52"/>
      <c r="U761" s="29"/>
      <c r="V761" s="54"/>
      <c r="W761" s="54"/>
    </row>
    <row r="762" ht="15.75" customHeight="1">
      <c r="A762" s="29"/>
      <c r="B762" s="16"/>
      <c r="C762" s="29"/>
      <c r="D762" s="29"/>
      <c r="E762" s="29"/>
      <c r="F762" s="29"/>
      <c r="G762" s="29"/>
      <c r="H762" s="41"/>
      <c r="I762" s="41"/>
      <c r="J762" s="51"/>
      <c r="K762" s="29"/>
      <c r="L762" s="29"/>
      <c r="M762" s="29"/>
      <c r="N762" s="29"/>
      <c r="O762" s="52"/>
      <c r="P762" s="52"/>
      <c r="Q762" s="52"/>
      <c r="R762" s="53"/>
      <c r="S762" s="52"/>
      <c r="T762" s="52"/>
      <c r="U762" s="29"/>
      <c r="V762" s="54"/>
      <c r="W762" s="54"/>
    </row>
    <row r="763" ht="15.75" customHeight="1">
      <c r="A763" s="29"/>
      <c r="B763" s="16"/>
      <c r="C763" s="29"/>
      <c r="D763" s="29"/>
      <c r="E763" s="29"/>
      <c r="F763" s="29"/>
      <c r="G763" s="29"/>
      <c r="H763" s="41"/>
      <c r="I763" s="41"/>
      <c r="J763" s="51"/>
      <c r="K763" s="29"/>
      <c r="L763" s="29"/>
      <c r="M763" s="29"/>
      <c r="N763" s="29"/>
      <c r="O763" s="52"/>
      <c r="P763" s="52"/>
      <c r="Q763" s="52"/>
      <c r="R763" s="53"/>
      <c r="S763" s="52"/>
      <c r="T763" s="52"/>
      <c r="U763" s="29"/>
      <c r="V763" s="54"/>
      <c r="W763" s="54"/>
    </row>
    <row r="764" ht="15.75" customHeight="1">
      <c r="A764" s="29"/>
      <c r="B764" s="16"/>
      <c r="C764" s="29"/>
      <c r="D764" s="29"/>
      <c r="E764" s="29"/>
      <c r="F764" s="29"/>
      <c r="G764" s="29"/>
      <c r="H764" s="41"/>
      <c r="I764" s="41"/>
      <c r="J764" s="51"/>
      <c r="K764" s="29"/>
      <c r="L764" s="29"/>
      <c r="M764" s="29"/>
      <c r="N764" s="29"/>
      <c r="O764" s="52"/>
      <c r="P764" s="52"/>
      <c r="Q764" s="52"/>
      <c r="R764" s="53"/>
      <c r="S764" s="52"/>
      <c r="T764" s="52"/>
      <c r="U764" s="29"/>
      <c r="V764" s="54"/>
      <c r="W764" s="54"/>
    </row>
    <row r="765" ht="15.75" customHeight="1">
      <c r="A765" s="29"/>
      <c r="B765" s="16"/>
      <c r="C765" s="29"/>
      <c r="D765" s="29"/>
      <c r="E765" s="29"/>
      <c r="F765" s="29"/>
      <c r="G765" s="29"/>
      <c r="H765" s="41"/>
      <c r="I765" s="41"/>
      <c r="J765" s="51"/>
      <c r="K765" s="29"/>
      <c r="L765" s="29"/>
      <c r="M765" s="29"/>
      <c r="N765" s="29"/>
      <c r="O765" s="52"/>
      <c r="P765" s="52"/>
      <c r="Q765" s="52"/>
      <c r="R765" s="53"/>
      <c r="S765" s="52"/>
      <c r="T765" s="52"/>
      <c r="U765" s="29"/>
      <c r="V765" s="54"/>
      <c r="W765" s="54"/>
    </row>
    <row r="766" ht="15.75" customHeight="1">
      <c r="A766" s="29"/>
      <c r="B766" s="16"/>
      <c r="C766" s="29"/>
      <c r="D766" s="29"/>
      <c r="E766" s="29"/>
      <c r="F766" s="29"/>
      <c r="G766" s="29"/>
      <c r="H766" s="41"/>
      <c r="I766" s="41"/>
      <c r="J766" s="51"/>
      <c r="K766" s="29"/>
      <c r="L766" s="29"/>
      <c r="M766" s="29"/>
      <c r="N766" s="29"/>
      <c r="O766" s="52"/>
      <c r="P766" s="52"/>
      <c r="Q766" s="52"/>
      <c r="R766" s="53"/>
      <c r="S766" s="52"/>
      <c r="T766" s="52"/>
      <c r="U766" s="29"/>
      <c r="V766" s="54"/>
      <c r="W766" s="54"/>
    </row>
    <row r="767" ht="15.75" customHeight="1">
      <c r="A767" s="29"/>
      <c r="B767" s="16"/>
      <c r="C767" s="29"/>
      <c r="D767" s="29"/>
      <c r="E767" s="29"/>
      <c r="F767" s="29"/>
      <c r="G767" s="29"/>
      <c r="H767" s="41"/>
      <c r="I767" s="41"/>
      <c r="J767" s="51"/>
      <c r="K767" s="29"/>
      <c r="L767" s="29"/>
      <c r="M767" s="29"/>
      <c r="N767" s="29"/>
      <c r="O767" s="52"/>
      <c r="P767" s="52"/>
      <c r="Q767" s="52"/>
      <c r="R767" s="53"/>
      <c r="S767" s="52"/>
      <c r="T767" s="52"/>
      <c r="U767" s="29"/>
      <c r="V767" s="54"/>
      <c r="W767" s="54"/>
    </row>
    <row r="768" ht="15.75" customHeight="1">
      <c r="A768" s="29"/>
      <c r="B768" s="16"/>
      <c r="C768" s="29"/>
      <c r="D768" s="29"/>
      <c r="E768" s="29"/>
      <c r="F768" s="29"/>
      <c r="G768" s="29"/>
      <c r="H768" s="41"/>
      <c r="I768" s="41"/>
      <c r="J768" s="51"/>
      <c r="K768" s="29"/>
      <c r="L768" s="29"/>
      <c r="M768" s="29"/>
      <c r="N768" s="29"/>
      <c r="O768" s="52"/>
      <c r="P768" s="52"/>
      <c r="Q768" s="52"/>
      <c r="R768" s="53"/>
      <c r="S768" s="52"/>
      <c r="T768" s="52"/>
      <c r="U768" s="29"/>
      <c r="V768" s="54"/>
      <c r="W768" s="54"/>
    </row>
    <row r="769" ht="15.75" customHeight="1">
      <c r="A769" s="29"/>
      <c r="B769" s="16"/>
      <c r="C769" s="29"/>
      <c r="D769" s="29"/>
      <c r="E769" s="29"/>
      <c r="F769" s="29"/>
      <c r="G769" s="29"/>
      <c r="H769" s="41"/>
      <c r="I769" s="41"/>
      <c r="J769" s="51"/>
      <c r="K769" s="29"/>
      <c r="L769" s="29"/>
      <c r="M769" s="29"/>
      <c r="N769" s="29"/>
      <c r="O769" s="52"/>
      <c r="P769" s="52"/>
      <c r="Q769" s="52"/>
      <c r="R769" s="53"/>
      <c r="S769" s="52"/>
      <c r="T769" s="52"/>
      <c r="U769" s="29"/>
      <c r="V769" s="54"/>
      <c r="W769" s="54"/>
    </row>
    <row r="770" ht="15.75" customHeight="1">
      <c r="A770" s="29"/>
      <c r="B770" s="16"/>
      <c r="C770" s="29"/>
      <c r="D770" s="29"/>
      <c r="E770" s="29"/>
      <c r="F770" s="29"/>
      <c r="G770" s="29"/>
      <c r="H770" s="41"/>
      <c r="I770" s="41"/>
      <c r="J770" s="51"/>
      <c r="K770" s="29"/>
      <c r="L770" s="29"/>
      <c r="M770" s="29"/>
      <c r="N770" s="29"/>
      <c r="O770" s="52"/>
      <c r="P770" s="52"/>
      <c r="Q770" s="52"/>
      <c r="R770" s="53"/>
      <c r="S770" s="52"/>
      <c r="T770" s="52"/>
      <c r="U770" s="29"/>
      <c r="V770" s="54"/>
      <c r="W770" s="54"/>
    </row>
    <row r="771" ht="15.75" customHeight="1">
      <c r="A771" s="29"/>
      <c r="B771" s="16"/>
      <c r="C771" s="29"/>
      <c r="D771" s="29"/>
      <c r="E771" s="29"/>
      <c r="F771" s="29"/>
      <c r="G771" s="29"/>
      <c r="H771" s="41"/>
      <c r="I771" s="41"/>
      <c r="J771" s="51"/>
      <c r="K771" s="29"/>
      <c r="L771" s="29"/>
      <c r="M771" s="29"/>
      <c r="N771" s="29"/>
      <c r="O771" s="52"/>
      <c r="P771" s="52"/>
      <c r="Q771" s="52"/>
      <c r="R771" s="53"/>
      <c r="S771" s="52"/>
      <c r="T771" s="52"/>
      <c r="U771" s="29"/>
      <c r="V771" s="54"/>
      <c r="W771" s="54"/>
    </row>
    <row r="772" ht="15.75" customHeight="1">
      <c r="A772" s="29"/>
      <c r="B772" s="16"/>
      <c r="C772" s="29"/>
      <c r="D772" s="29"/>
      <c r="E772" s="29"/>
      <c r="F772" s="29"/>
      <c r="G772" s="29"/>
      <c r="H772" s="41"/>
      <c r="I772" s="41"/>
      <c r="J772" s="51"/>
      <c r="K772" s="29"/>
      <c r="L772" s="29"/>
      <c r="M772" s="29"/>
      <c r="N772" s="29"/>
      <c r="O772" s="52"/>
      <c r="P772" s="52"/>
      <c r="Q772" s="52"/>
      <c r="R772" s="53"/>
      <c r="S772" s="52"/>
      <c r="T772" s="52"/>
      <c r="U772" s="29"/>
      <c r="V772" s="54"/>
      <c r="W772" s="54"/>
    </row>
    <row r="773" ht="15.75" customHeight="1">
      <c r="A773" s="29"/>
      <c r="B773" s="16"/>
      <c r="C773" s="29"/>
      <c r="D773" s="29"/>
      <c r="E773" s="29"/>
      <c r="F773" s="29"/>
      <c r="G773" s="29"/>
      <c r="H773" s="41"/>
      <c r="I773" s="41"/>
      <c r="J773" s="51"/>
      <c r="K773" s="29"/>
      <c r="L773" s="29"/>
      <c r="M773" s="29"/>
      <c r="N773" s="29"/>
      <c r="O773" s="52"/>
      <c r="P773" s="52"/>
      <c r="Q773" s="52"/>
      <c r="R773" s="53"/>
      <c r="S773" s="52"/>
      <c r="T773" s="52"/>
      <c r="U773" s="29"/>
      <c r="V773" s="54"/>
      <c r="W773" s="54"/>
    </row>
    <row r="774" ht="15.75" customHeight="1">
      <c r="A774" s="29"/>
      <c r="B774" s="16"/>
      <c r="C774" s="29"/>
      <c r="D774" s="29"/>
      <c r="E774" s="29"/>
      <c r="F774" s="29"/>
      <c r="G774" s="29"/>
      <c r="H774" s="41"/>
      <c r="I774" s="41"/>
      <c r="J774" s="51"/>
      <c r="K774" s="29"/>
      <c r="L774" s="29"/>
      <c r="M774" s="29"/>
      <c r="N774" s="29"/>
      <c r="O774" s="52"/>
      <c r="P774" s="52"/>
      <c r="Q774" s="52"/>
      <c r="R774" s="53"/>
      <c r="S774" s="52"/>
      <c r="T774" s="52"/>
      <c r="U774" s="29"/>
      <c r="V774" s="54"/>
      <c r="W774" s="54"/>
    </row>
    <row r="775" ht="15.75" customHeight="1">
      <c r="A775" s="29"/>
      <c r="B775" s="16"/>
      <c r="C775" s="29"/>
      <c r="D775" s="29"/>
      <c r="E775" s="29"/>
      <c r="F775" s="29"/>
      <c r="G775" s="29"/>
      <c r="H775" s="41"/>
      <c r="I775" s="41"/>
      <c r="J775" s="51"/>
      <c r="K775" s="29"/>
      <c r="L775" s="29"/>
      <c r="M775" s="29"/>
      <c r="N775" s="29"/>
      <c r="O775" s="52"/>
      <c r="P775" s="52"/>
      <c r="Q775" s="52"/>
      <c r="R775" s="53"/>
      <c r="S775" s="52"/>
      <c r="T775" s="52"/>
      <c r="U775" s="29"/>
      <c r="V775" s="54"/>
      <c r="W775" s="54"/>
    </row>
    <row r="776" ht="15.75" customHeight="1">
      <c r="A776" s="29"/>
      <c r="B776" s="16"/>
      <c r="C776" s="29"/>
      <c r="D776" s="29"/>
      <c r="E776" s="29"/>
      <c r="F776" s="29"/>
      <c r="G776" s="29"/>
      <c r="H776" s="41"/>
      <c r="I776" s="41"/>
      <c r="J776" s="51"/>
      <c r="K776" s="29"/>
      <c r="L776" s="29"/>
      <c r="M776" s="29"/>
      <c r="N776" s="29"/>
      <c r="O776" s="52"/>
      <c r="P776" s="52"/>
      <c r="Q776" s="52"/>
      <c r="R776" s="53"/>
      <c r="S776" s="52"/>
      <c r="T776" s="52"/>
      <c r="U776" s="29"/>
      <c r="V776" s="54"/>
      <c r="W776" s="54"/>
    </row>
    <row r="777" ht="15.75" customHeight="1">
      <c r="A777" s="29"/>
      <c r="B777" s="16"/>
      <c r="C777" s="29"/>
      <c r="D777" s="29"/>
      <c r="E777" s="29"/>
      <c r="F777" s="29"/>
      <c r="G777" s="29"/>
      <c r="H777" s="41"/>
      <c r="I777" s="41"/>
      <c r="J777" s="51"/>
      <c r="K777" s="29"/>
      <c r="L777" s="29"/>
      <c r="M777" s="29"/>
      <c r="N777" s="29"/>
      <c r="O777" s="52"/>
      <c r="P777" s="52"/>
      <c r="Q777" s="52"/>
      <c r="R777" s="53"/>
      <c r="S777" s="52"/>
      <c r="T777" s="52"/>
      <c r="U777" s="29"/>
      <c r="V777" s="54"/>
      <c r="W777" s="54"/>
    </row>
    <row r="778" ht="15.75" customHeight="1">
      <c r="A778" s="29"/>
      <c r="B778" s="16"/>
      <c r="C778" s="29"/>
      <c r="D778" s="29"/>
      <c r="E778" s="29"/>
      <c r="F778" s="29"/>
      <c r="G778" s="29"/>
      <c r="H778" s="41"/>
      <c r="I778" s="41"/>
      <c r="J778" s="51"/>
      <c r="K778" s="29"/>
      <c r="L778" s="29"/>
      <c r="M778" s="29"/>
      <c r="N778" s="29"/>
      <c r="O778" s="52"/>
      <c r="P778" s="52"/>
      <c r="Q778" s="52"/>
      <c r="R778" s="53"/>
      <c r="S778" s="52"/>
      <c r="T778" s="52"/>
      <c r="U778" s="29"/>
      <c r="V778" s="54"/>
      <c r="W778" s="54"/>
    </row>
    <row r="779" ht="15.75" customHeight="1">
      <c r="A779" s="29"/>
      <c r="B779" s="16"/>
      <c r="C779" s="29"/>
      <c r="D779" s="29"/>
      <c r="E779" s="29"/>
      <c r="F779" s="29"/>
      <c r="G779" s="29"/>
      <c r="H779" s="41"/>
      <c r="I779" s="41"/>
      <c r="J779" s="51"/>
      <c r="K779" s="29"/>
      <c r="L779" s="29"/>
      <c r="M779" s="29"/>
      <c r="N779" s="29"/>
      <c r="O779" s="52"/>
      <c r="P779" s="52"/>
      <c r="Q779" s="52"/>
      <c r="R779" s="53"/>
      <c r="S779" s="52"/>
      <c r="T779" s="52"/>
      <c r="U779" s="29"/>
      <c r="V779" s="54"/>
      <c r="W779" s="54"/>
    </row>
    <row r="780" ht="15.75" customHeight="1">
      <c r="A780" s="29"/>
      <c r="B780" s="16"/>
      <c r="C780" s="29"/>
      <c r="D780" s="29"/>
      <c r="E780" s="29"/>
      <c r="F780" s="29"/>
      <c r="G780" s="29"/>
      <c r="H780" s="41"/>
      <c r="I780" s="41"/>
      <c r="J780" s="51"/>
      <c r="K780" s="29"/>
      <c r="L780" s="29"/>
      <c r="M780" s="29"/>
      <c r="N780" s="29"/>
      <c r="O780" s="52"/>
      <c r="P780" s="52"/>
      <c r="Q780" s="52"/>
      <c r="R780" s="53"/>
      <c r="S780" s="52"/>
      <c r="T780" s="52"/>
      <c r="U780" s="29"/>
      <c r="V780" s="54"/>
      <c r="W780" s="54"/>
    </row>
    <row r="781" ht="15.75" customHeight="1">
      <c r="A781" s="29"/>
      <c r="B781" s="16"/>
      <c r="C781" s="29"/>
      <c r="D781" s="29"/>
      <c r="E781" s="29"/>
      <c r="F781" s="29"/>
      <c r="G781" s="29"/>
      <c r="H781" s="41"/>
      <c r="I781" s="41"/>
      <c r="J781" s="51"/>
      <c r="K781" s="29"/>
      <c r="L781" s="29"/>
      <c r="M781" s="29"/>
      <c r="N781" s="29"/>
      <c r="O781" s="52"/>
      <c r="P781" s="52"/>
      <c r="Q781" s="52"/>
      <c r="R781" s="53"/>
      <c r="S781" s="52"/>
      <c r="T781" s="52"/>
      <c r="U781" s="29"/>
      <c r="V781" s="54"/>
      <c r="W781" s="54"/>
    </row>
    <row r="782" ht="15.75" customHeight="1">
      <c r="A782" s="29"/>
      <c r="B782" s="16"/>
      <c r="C782" s="29"/>
      <c r="D782" s="29"/>
      <c r="E782" s="29"/>
      <c r="F782" s="29"/>
      <c r="G782" s="29"/>
      <c r="H782" s="41"/>
      <c r="I782" s="41"/>
      <c r="J782" s="51"/>
      <c r="K782" s="29"/>
      <c r="L782" s="29"/>
      <c r="M782" s="29"/>
      <c r="N782" s="29"/>
      <c r="O782" s="52"/>
      <c r="P782" s="52"/>
      <c r="Q782" s="52"/>
      <c r="R782" s="53"/>
      <c r="S782" s="52"/>
      <c r="T782" s="52"/>
      <c r="U782" s="29"/>
      <c r="V782" s="54"/>
      <c r="W782" s="54"/>
    </row>
    <row r="783" ht="15.75" customHeight="1">
      <c r="A783" s="29"/>
      <c r="B783" s="16"/>
      <c r="C783" s="29"/>
      <c r="D783" s="29"/>
      <c r="E783" s="29"/>
      <c r="F783" s="29"/>
      <c r="G783" s="29"/>
      <c r="H783" s="41"/>
      <c r="I783" s="41"/>
      <c r="J783" s="51"/>
      <c r="K783" s="29"/>
      <c r="L783" s="29"/>
      <c r="M783" s="29"/>
      <c r="N783" s="29"/>
      <c r="O783" s="52"/>
      <c r="P783" s="52"/>
      <c r="Q783" s="52"/>
      <c r="R783" s="53"/>
      <c r="S783" s="52"/>
      <c r="T783" s="52"/>
      <c r="U783" s="29"/>
      <c r="V783" s="54"/>
      <c r="W783" s="54"/>
    </row>
    <row r="784" ht="15.75" customHeight="1">
      <c r="A784" s="29"/>
      <c r="B784" s="16"/>
      <c r="C784" s="29"/>
      <c r="D784" s="29"/>
      <c r="E784" s="29"/>
      <c r="F784" s="29"/>
      <c r="G784" s="29"/>
      <c r="H784" s="41"/>
      <c r="I784" s="41"/>
      <c r="J784" s="51"/>
      <c r="K784" s="29"/>
      <c r="L784" s="29"/>
      <c r="M784" s="29"/>
      <c r="N784" s="29"/>
      <c r="O784" s="52"/>
      <c r="P784" s="52"/>
      <c r="Q784" s="52"/>
      <c r="R784" s="53"/>
      <c r="S784" s="52"/>
      <c r="T784" s="52"/>
      <c r="U784" s="29"/>
      <c r="V784" s="54"/>
      <c r="W784" s="54"/>
    </row>
    <row r="785" ht="15.75" customHeight="1">
      <c r="A785" s="29"/>
      <c r="B785" s="16"/>
      <c r="C785" s="29"/>
      <c r="D785" s="29"/>
      <c r="E785" s="29"/>
      <c r="F785" s="29"/>
      <c r="G785" s="29"/>
      <c r="H785" s="41"/>
      <c r="I785" s="41"/>
      <c r="J785" s="51"/>
      <c r="K785" s="29"/>
      <c r="L785" s="29"/>
      <c r="M785" s="29"/>
      <c r="N785" s="29"/>
      <c r="O785" s="52"/>
      <c r="P785" s="52"/>
      <c r="Q785" s="52"/>
      <c r="R785" s="53"/>
      <c r="S785" s="52"/>
      <c r="T785" s="52"/>
      <c r="U785" s="29"/>
      <c r="V785" s="54"/>
      <c r="W785" s="54"/>
    </row>
    <row r="786" ht="15.75" customHeight="1">
      <c r="A786" s="29"/>
      <c r="B786" s="16"/>
      <c r="C786" s="29"/>
      <c r="D786" s="29"/>
      <c r="E786" s="29"/>
      <c r="F786" s="29"/>
      <c r="G786" s="29"/>
      <c r="H786" s="41"/>
      <c r="I786" s="41"/>
      <c r="J786" s="51"/>
      <c r="K786" s="29"/>
      <c r="L786" s="29"/>
      <c r="M786" s="29"/>
      <c r="N786" s="29"/>
      <c r="O786" s="52"/>
      <c r="P786" s="52"/>
      <c r="Q786" s="52"/>
      <c r="R786" s="53"/>
      <c r="S786" s="52"/>
      <c r="T786" s="52"/>
      <c r="U786" s="29"/>
      <c r="V786" s="54"/>
      <c r="W786" s="54"/>
    </row>
    <row r="787" ht="15.75" customHeight="1">
      <c r="A787" s="29"/>
      <c r="B787" s="16"/>
      <c r="C787" s="29"/>
      <c r="D787" s="29"/>
      <c r="E787" s="29"/>
      <c r="F787" s="29"/>
      <c r="G787" s="29"/>
      <c r="H787" s="41"/>
      <c r="I787" s="41"/>
      <c r="J787" s="51"/>
      <c r="K787" s="29"/>
      <c r="L787" s="29"/>
      <c r="M787" s="29"/>
      <c r="N787" s="29"/>
      <c r="O787" s="52"/>
      <c r="P787" s="52"/>
      <c r="Q787" s="52"/>
      <c r="R787" s="53"/>
      <c r="S787" s="52"/>
      <c r="T787" s="52"/>
      <c r="U787" s="29"/>
      <c r="V787" s="54"/>
      <c r="W787" s="54"/>
    </row>
    <row r="788" ht="15.75" customHeight="1">
      <c r="A788" s="29"/>
      <c r="B788" s="16"/>
      <c r="C788" s="29"/>
      <c r="D788" s="29"/>
      <c r="E788" s="29"/>
      <c r="F788" s="29"/>
      <c r="G788" s="29"/>
      <c r="H788" s="41"/>
      <c r="I788" s="41"/>
      <c r="J788" s="51"/>
      <c r="K788" s="29"/>
      <c r="L788" s="29"/>
      <c r="M788" s="29"/>
      <c r="N788" s="29"/>
      <c r="O788" s="52"/>
      <c r="P788" s="52"/>
      <c r="Q788" s="52"/>
      <c r="R788" s="53"/>
      <c r="S788" s="52"/>
      <c r="T788" s="52"/>
      <c r="U788" s="29"/>
      <c r="V788" s="54"/>
      <c r="W788" s="54"/>
    </row>
    <row r="789" ht="15.75" customHeight="1">
      <c r="A789" s="29"/>
      <c r="B789" s="16"/>
      <c r="C789" s="29"/>
      <c r="D789" s="29"/>
      <c r="E789" s="29"/>
      <c r="F789" s="29"/>
      <c r="G789" s="29"/>
      <c r="H789" s="41"/>
      <c r="I789" s="41"/>
      <c r="J789" s="51"/>
      <c r="K789" s="29"/>
      <c r="L789" s="29"/>
      <c r="M789" s="29"/>
      <c r="N789" s="29"/>
      <c r="O789" s="52"/>
      <c r="P789" s="52"/>
      <c r="Q789" s="52"/>
      <c r="R789" s="53"/>
      <c r="S789" s="52"/>
      <c r="T789" s="52"/>
      <c r="U789" s="29"/>
      <c r="V789" s="54"/>
      <c r="W789" s="54"/>
    </row>
    <row r="790" ht="15.75" customHeight="1">
      <c r="A790" s="29"/>
      <c r="B790" s="16"/>
      <c r="C790" s="29"/>
      <c r="D790" s="29"/>
      <c r="E790" s="29"/>
      <c r="F790" s="29"/>
      <c r="G790" s="29"/>
      <c r="H790" s="41"/>
      <c r="I790" s="41"/>
      <c r="J790" s="51"/>
      <c r="K790" s="29"/>
      <c r="L790" s="29"/>
      <c r="M790" s="29"/>
      <c r="N790" s="29"/>
      <c r="O790" s="52"/>
      <c r="P790" s="52"/>
      <c r="Q790" s="52"/>
      <c r="R790" s="53"/>
      <c r="S790" s="52"/>
      <c r="T790" s="52"/>
      <c r="U790" s="29"/>
      <c r="V790" s="54"/>
      <c r="W790" s="54"/>
    </row>
    <row r="791" ht="15.75" customHeight="1">
      <c r="A791" s="29"/>
      <c r="B791" s="16"/>
      <c r="C791" s="29"/>
      <c r="D791" s="29"/>
      <c r="E791" s="29"/>
      <c r="F791" s="29"/>
      <c r="G791" s="29"/>
      <c r="H791" s="41"/>
      <c r="I791" s="41"/>
      <c r="J791" s="51"/>
      <c r="K791" s="29"/>
      <c r="L791" s="29"/>
      <c r="M791" s="29"/>
      <c r="N791" s="29"/>
      <c r="O791" s="52"/>
      <c r="P791" s="52"/>
      <c r="Q791" s="52"/>
      <c r="R791" s="53"/>
      <c r="S791" s="52"/>
      <c r="T791" s="52"/>
      <c r="U791" s="29"/>
      <c r="V791" s="54"/>
      <c r="W791" s="54"/>
    </row>
    <row r="792" ht="15.75" customHeight="1">
      <c r="A792" s="29"/>
      <c r="B792" s="16"/>
      <c r="C792" s="29"/>
      <c r="D792" s="29"/>
      <c r="E792" s="29"/>
      <c r="F792" s="29"/>
      <c r="G792" s="29"/>
      <c r="H792" s="41"/>
      <c r="I792" s="41"/>
      <c r="J792" s="51"/>
      <c r="K792" s="29"/>
      <c r="L792" s="29"/>
      <c r="M792" s="29"/>
      <c r="N792" s="29"/>
      <c r="O792" s="52"/>
      <c r="P792" s="52"/>
      <c r="Q792" s="52"/>
      <c r="R792" s="53"/>
      <c r="S792" s="52"/>
      <c r="T792" s="52"/>
      <c r="U792" s="29"/>
      <c r="V792" s="54"/>
      <c r="W792" s="54"/>
    </row>
    <row r="793" ht="15.75" customHeight="1">
      <c r="A793" s="29"/>
      <c r="B793" s="16"/>
      <c r="C793" s="29"/>
      <c r="D793" s="29"/>
      <c r="E793" s="29"/>
      <c r="F793" s="29"/>
      <c r="G793" s="29"/>
      <c r="H793" s="41"/>
      <c r="I793" s="41"/>
      <c r="J793" s="51"/>
      <c r="K793" s="29"/>
      <c r="L793" s="29"/>
      <c r="M793" s="29"/>
      <c r="N793" s="29"/>
      <c r="O793" s="52"/>
      <c r="P793" s="52"/>
      <c r="Q793" s="52"/>
      <c r="R793" s="53"/>
      <c r="S793" s="52"/>
      <c r="T793" s="52"/>
      <c r="U793" s="29"/>
      <c r="V793" s="54"/>
      <c r="W793" s="54"/>
    </row>
    <row r="794" ht="15.75" customHeight="1">
      <c r="A794" s="29"/>
      <c r="B794" s="16"/>
      <c r="C794" s="29"/>
      <c r="D794" s="29"/>
      <c r="E794" s="29"/>
      <c r="F794" s="29"/>
      <c r="G794" s="29"/>
      <c r="H794" s="41"/>
      <c r="I794" s="41"/>
      <c r="J794" s="51"/>
      <c r="K794" s="29"/>
      <c r="L794" s="29"/>
      <c r="M794" s="29"/>
      <c r="N794" s="29"/>
      <c r="O794" s="52"/>
      <c r="P794" s="52"/>
      <c r="Q794" s="52"/>
      <c r="R794" s="53"/>
      <c r="S794" s="52"/>
      <c r="T794" s="52"/>
      <c r="U794" s="29"/>
      <c r="V794" s="54"/>
      <c r="W794" s="54"/>
    </row>
    <row r="795" ht="15.75" customHeight="1">
      <c r="A795" s="29"/>
      <c r="B795" s="16"/>
      <c r="C795" s="29"/>
      <c r="D795" s="29"/>
      <c r="E795" s="29"/>
      <c r="F795" s="29"/>
      <c r="G795" s="29"/>
      <c r="H795" s="41"/>
      <c r="I795" s="41"/>
      <c r="J795" s="51"/>
      <c r="K795" s="29"/>
      <c r="L795" s="29"/>
      <c r="M795" s="29"/>
      <c r="N795" s="29"/>
      <c r="O795" s="52"/>
      <c r="P795" s="52"/>
      <c r="Q795" s="52"/>
      <c r="R795" s="53"/>
      <c r="S795" s="52"/>
      <c r="T795" s="52"/>
      <c r="U795" s="29"/>
      <c r="V795" s="54"/>
      <c r="W795" s="54"/>
    </row>
    <row r="796" ht="15.75" customHeight="1">
      <c r="A796" s="29"/>
      <c r="B796" s="16"/>
      <c r="C796" s="29"/>
      <c r="D796" s="29"/>
      <c r="E796" s="29"/>
      <c r="F796" s="29"/>
      <c r="G796" s="29"/>
      <c r="H796" s="41"/>
      <c r="I796" s="41"/>
      <c r="J796" s="51"/>
      <c r="K796" s="29"/>
      <c r="L796" s="29"/>
      <c r="M796" s="29"/>
      <c r="N796" s="29"/>
      <c r="O796" s="52"/>
      <c r="P796" s="52"/>
      <c r="Q796" s="52"/>
      <c r="R796" s="53"/>
      <c r="S796" s="52"/>
      <c r="T796" s="52"/>
      <c r="U796" s="29"/>
      <c r="V796" s="54"/>
      <c r="W796" s="54"/>
    </row>
    <row r="797" ht="15.75" customHeight="1">
      <c r="A797" s="29"/>
      <c r="B797" s="16"/>
      <c r="C797" s="29"/>
      <c r="D797" s="29"/>
      <c r="E797" s="29"/>
      <c r="F797" s="29"/>
      <c r="G797" s="29"/>
      <c r="H797" s="41"/>
      <c r="I797" s="41"/>
      <c r="J797" s="51"/>
      <c r="K797" s="29"/>
      <c r="L797" s="29"/>
      <c r="M797" s="29"/>
      <c r="N797" s="29"/>
      <c r="O797" s="52"/>
      <c r="P797" s="52"/>
      <c r="Q797" s="52"/>
      <c r="R797" s="53"/>
      <c r="S797" s="52"/>
      <c r="T797" s="52"/>
      <c r="U797" s="29"/>
      <c r="V797" s="54"/>
      <c r="W797" s="54"/>
    </row>
    <row r="798" ht="15.75" customHeight="1">
      <c r="A798" s="29"/>
      <c r="B798" s="16"/>
      <c r="C798" s="29"/>
      <c r="D798" s="29"/>
      <c r="E798" s="29"/>
      <c r="F798" s="29"/>
      <c r="G798" s="29"/>
      <c r="H798" s="41"/>
      <c r="I798" s="41"/>
      <c r="J798" s="51"/>
      <c r="K798" s="29"/>
      <c r="L798" s="29"/>
      <c r="M798" s="29"/>
      <c r="N798" s="29"/>
      <c r="O798" s="52"/>
      <c r="P798" s="52"/>
      <c r="Q798" s="52"/>
      <c r="R798" s="53"/>
      <c r="S798" s="52"/>
      <c r="T798" s="52"/>
      <c r="U798" s="29"/>
      <c r="V798" s="54"/>
      <c r="W798" s="54"/>
    </row>
    <row r="799" ht="15.75" customHeight="1">
      <c r="A799" s="29"/>
      <c r="B799" s="16"/>
      <c r="C799" s="29"/>
      <c r="D799" s="29"/>
      <c r="E799" s="29"/>
      <c r="F799" s="29"/>
      <c r="G799" s="29"/>
      <c r="H799" s="41"/>
      <c r="I799" s="41"/>
      <c r="J799" s="51"/>
      <c r="K799" s="29"/>
      <c r="L799" s="29"/>
      <c r="M799" s="29"/>
      <c r="N799" s="29"/>
      <c r="O799" s="52"/>
      <c r="P799" s="52"/>
      <c r="Q799" s="52"/>
      <c r="R799" s="53"/>
      <c r="S799" s="52"/>
      <c r="T799" s="52"/>
      <c r="U799" s="29"/>
      <c r="V799" s="54"/>
      <c r="W799" s="54"/>
    </row>
    <row r="800" ht="15.75" customHeight="1">
      <c r="A800" s="29"/>
      <c r="B800" s="16"/>
      <c r="C800" s="29"/>
      <c r="D800" s="29"/>
      <c r="E800" s="29"/>
      <c r="F800" s="29"/>
      <c r="G800" s="29"/>
      <c r="H800" s="41"/>
      <c r="I800" s="41"/>
      <c r="J800" s="51"/>
      <c r="K800" s="29"/>
      <c r="L800" s="29"/>
      <c r="M800" s="29"/>
      <c r="N800" s="29"/>
      <c r="O800" s="52"/>
      <c r="P800" s="52"/>
      <c r="Q800" s="52"/>
      <c r="R800" s="53"/>
      <c r="S800" s="52"/>
      <c r="T800" s="52"/>
      <c r="U800" s="29"/>
      <c r="V800" s="54"/>
      <c r="W800" s="54"/>
    </row>
    <row r="801" ht="15.75" customHeight="1">
      <c r="A801" s="29"/>
      <c r="B801" s="16"/>
      <c r="C801" s="29"/>
      <c r="D801" s="29"/>
      <c r="E801" s="29"/>
      <c r="F801" s="29"/>
      <c r="G801" s="29"/>
      <c r="H801" s="41"/>
      <c r="I801" s="41"/>
      <c r="J801" s="51"/>
      <c r="K801" s="29"/>
      <c r="L801" s="29"/>
      <c r="M801" s="29"/>
      <c r="N801" s="29"/>
      <c r="O801" s="52"/>
      <c r="P801" s="52"/>
      <c r="Q801" s="52"/>
      <c r="R801" s="53"/>
      <c r="S801" s="52"/>
      <c r="T801" s="52"/>
      <c r="U801" s="29"/>
      <c r="V801" s="54"/>
      <c r="W801" s="54"/>
    </row>
    <row r="802" ht="15.75" customHeight="1">
      <c r="A802" s="29"/>
      <c r="B802" s="16"/>
      <c r="C802" s="29"/>
      <c r="D802" s="29"/>
      <c r="E802" s="29"/>
      <c r="F802" s="29"/>
      <c r="G802" s="29"/>
      <c r="H802" s="41"/>
      <c r="I802" s="41"/>
      <c r="J802" s="51"/>
      <c r="K802" s="29"/>
      <c r="L802" s="29"/>
      <c r="M802" s="29"/>
      <c r="N802" s="29"/>
      <c r="O802" s="52"/>
      <c r="P802" s="52"/>
      <c r="Q802" s="52"/>
      <c r="R802" s="53"/>
      <c r="S802" s="52"/>
      <c r="T802" s="52"/>
      <c r="U802" s="29"/>
      <c r="V802" s="54"/>
      <c r="W802" s="54"/>
    </row>
    <row r="803" ht="15.75" customHeight="1">
      <c r="A803" s="29"/>
      <c r="B803" s="16"/>
      <c r="C803" s="29"/>
      <c r="D803" s="29"/>
      <c r="E803" s="29"/>
      <c r="F803" s="29"/>
      <c r="G803" s="29"/>
      <c r="H803" s="41"/>
      <c r="I803" s="41"/>
      <c r="J803" s="51"/>
      <c r="K803" s="29"/>
      <c r="L803" s="29"/>
      <c r="M803" s="29"/>
      <c r="N803" s="29"/>
      <c r="O803" s="52"/>
      <c r="P803" s="52"/>
      <c r="Q803" s="52"/>
      <c r="R803" s="53"/>
      <c r="S803" s="52"/>
      <c r="T803" s="52"/>
      <c r="U803" s="29"/>
      <c r="V803" s="54"/>
      <c r="W803" s="54"/>
    </row>
    <row r="804" ht="15.75" customHeight="1">
      <c r="A804" s="29"/>
      <c r="B804" s="16"/>
      <c r="C804" s="29"/>
      <c r="D804" s="29"/>
      <c r="E804" s="29"/>
      <c r="F804" s="29"/>
      <c r="G804" s="29"/>
      <c r="H804" s="41"/>
      <c r="I804" s="41"/>
      <c r="J804" s="51"/>
      <c r="K804" s="29"/>
      <c r="L804" s="29"/>
      <c r="M804" s="29"/>
      <c r="N804" s="29"/>
      <c r="O804" s="52"/>
      <c r="P804" s="52"/>
      <c r="Q804" s="52"/>
      <c r="R804" s="53"/>
      <c r="S804" s="52"/>
      <c r="T804" s="52"/>
      <c r="U804" s="29"/>
      <c r="V804" s="54"/>
      <c r="W804" s="54"/>
    </row>
    <row r="805" ht="15.75" customHeight="1">
      <c r="A805" s="29"/>
      <c r="B805" s="16"/>
      <c r="C805" s="29"/>
      <c r="D805" s="29"/>
      <c r="E805" s="29"/>
      <c r="F805" s="29"/>
      <c r="G805" s="29"/>
      <c r="H805" s="41"/>
      <c r="I805" s="41"/>
      <c r="J805" s="51"/>
      <c r="K805" s="29"/>
      <c r="L805" s="29"/>
      <c r="M805" s="29"/>
      <c r="N805" s="29"/>
      <c r="O805" s="52"/>
      <c r="P805" s="52"/>
      <c r="Q805" s="52"/>
      <c r="R805" s="53"/>
      <c r="S805" s="52"/>
      <c r="T805" s="52"/>
      <c r="U805" s="29"/>
      <c r="V805" s="54"/>
      <c r="W805" s="54"/>
    </row>
    <row r="806" ht="15.75" customHeight="1">
      <c r="A806" s="29"/>
      <c r="B806" s="16"/>
      <c r="C806" s="29"/>
      <c r="D806" s="29"/>
      <c r="E806" s="29"/>
      <c r="F806" s="29"/>
      <c r="G806" s="29"/>
      <c r="H806" s="41"/>
      <c r="I806" s="41"/>
      <c r="J806" s="51"/>
      <c r="K806" s="29"/>
      <c r="L806" s="29"/>
      <c r="M806" s="29"/>
      <c r="N806" s="29"/>
      <c r="O806" s="52"/>
      <c r="P806" s="52"/>
      <c r="Q806" s="52"/>
      <c r="R806" s="53"/>
      <c r="S806" s="52"/>
      <c r="T806" s="52"/>
      <c r="U806" s="29"/>
      <c r="V806" s="54"/>
      <c r="W806" s="54"/>
    </row>
    <row r="807" ht="15.75" customHeight="1">
      <c r="A807" s="29"/>
      <c r="B807" s="16"/>
      <c r="C807" s="29"/>
      <c r="D807" s="29"/>
      <c r="E807" s="29"/>
      <c r="F807" s="29"/>
      <c r="G807" s="29"/>
      <c r="H807" s="41"/>
      <c r="I807" s="41"/>
      <c r="J807" s="51"/>
      <c r="K807" s="29"/>
      <c r="L807" s="29"/>
      <c r="M807" s="29"/>
      <c r="N807" s="29"/>
      <c r="O807" s="52"/>
      <c r="P807" s="52"/>
      <c r="Q807" s="52"/>
      <c r="R807" s="53"/>
      <c r="S807" s="52"/>
      <c r="T807" s="52"/>
      <c r="U807" s="29"/>
      <c r="V807" s="54"/>
      <c r="W807" s="54"/>
    </row>
    <row r="808" ht="15.75" customHeight="1">
      <c r="A808" s="29"/>
      <c r="B808" s="16"/>
      <c r="C808" s="29"/>
      <c r="D808" s="29"/>
      <c r="E808" s="29"/>
      <c r="F808" s="29"/>
      <c r="G808" s="29"/>
      <c r="H808" s="41"/>
      <c r="I808" s="41"/>
      <c r="J808" s="51"/>
      <c r="K808" s="29"/>
      <c r="L808" s="29"/>
      <c r="M808" s="29"/>
      <c r="N808" s="29"/>
      <c r="O808" s="52"/>
      <c r="P808" s="52"/>
      <c r="Q808" s="52"/>
      <c r="R808" s="53"/>
      <c r="S808" s="52"/>
      <c r="T808" s="52"/>
      <c r="U808" s="29"/>
      <c r="V808" s="54"/>
      <c r="W808" s="54"/>
    </row>
    <row r="809" ht="15.75" customHeight="1">
      <c r="A809" s="29"/>
      <c r="B809" s="16"/>
      <c r="C809" s="29"/>
      <c r="D809" s="29"/>
      <c r="E809" s="29"/>
      <c r="F809" s="29"/>
      <c r="G809" s="29"/>
      <c r="H809" s="41"/>
      <c r="I809" s="41"/>
      <c r="J809" s="51"/>
      <c r="K809" s="29"/>
      <c r="L809" s="29"/>
      <c r="M809" s="29"/>
      <c r="N809" s="29"/>
      <c r="O809" s="52"/>
      <c r="P809" s="52"/>
      <c r="Q809" s="52"/>
      <c r="R809" s="53"/>
      <c r="S809" s="52"/>
      <c r="T809" s="52"/>
      <c r="U809" s="29"/>
      <c r="V809" s="54"/>
      <c r="W809" s="54"/>
    </row>
    <row r="810" ht="15.75" customHeight="1">
      <c r="A810" s="29"/>
      <c r="B810" s="16"/>
      <c r="C810" s="29"/>
      <c r="D810" s="29"/>
      <c r="E810" s="29"/>
      <c r="F810" s="29"/>
      <c r="G810" s="29"/>
      <c r="H810" s="41"/>
      <c r="I810" s="41"/>
      <c r="J810" s="51"/>
      <c r="K810" s="29"/>
      <c r="L810" s="29"/>
      <c r="M810" s="29"/>
      <c r="N810" s="29"/>
      <c r="O810" s="52"/>
      <c r="P810" s="52"/>
      <c r="Q810" s="52"/>
      <c r="R810" s="53"/>
      <c r="S810" s="52"/>
      <c r="T810" s="52"/>
      <c r="U810" s="29"/>
      <c r="V810" s="54"/>
      <c r="W810" s="54"/>
    </row>
    <row r="811" ht="15.75" customHeight="1">
      <c r="A811" s="29"/>
      <c r="B811" s="16"/>
      <c r="C811" s="29"/>
      <c r="D811" s="29"/>
      <c r="E811" s="29"/>
      <c r="F811" s="29"/>
      <c r="G811" s="29"/>
      <c r="H811" s="41"/>
      <c r="I811" s="41"/>
      <c r="J811" s="51"/>
      <c r="K811" s="29"/>
      <c r="L811" s="29"/>
      <c r="M811" s="29"/>
      <c r="N811" s="29"/>
      <c r="O811" s="52"/>
      <c r="P811" s="52"/>
      <c r="Q811" s="52"/>
      <c r="R811" s="53"/>
      <c r="S811" s="52"/>
      <c r="T811" s="52"/>
      <c r="U811" s="29"/>
      <c r="V811" s="54"/>
      <c r="W811" s="54"/>
    </row>
    <row r="812" ht="15.75" customHeight="1">
      <c r="A812" s="29"/>
      <c r="B812" s="16"/>
      <c r="C812" s="29"/>
      <c r="D812" s="29"/>
      <c r="E812" s="29"/>
      <c r="F812" s="29"/>
      <c r="G812" s="29"/>
      <c r="H812" s="41"/>
      <c r="I812" s="41"/>
      <c r="J812" s="51"/>
      <c r="K812" s="29"/>
      <c r="L812" s="29"/>
      <c r="M812" s="29"/>
      <c r="N812" s="29"/>
      <c r="O812" s="52"/>
      <c r="P812" s="52"/>
      <c r="Q812" s="52"/>
      <c r="R812" s="53"/>
      <c r="S812" s="52"/>
      <c r="T812" s="52"/>
      <c r="U812" s="29"/>
      <c r="V812" s="54"/>
      <c r="W812" s="54"/>
    </row>
    <row r="813" ht="15.75" customHeight="1">
      <c r="A813" s="29"/>
      <c r="B813" s="16"/>
      <c r="C813" s="29"/>
      <c r="D813" s="29"/>
      <c r="E813" s="29"/>
      <c r="F813" s="29"/>
      <c r="G813" s="29"/>
      <c r="H813" s="41"/>
      <c r="I813" s="41"/>
      <c r="J813" s="51"/>
      <c r="K813" s="29"/>
      <c r="L813" s="29"/>
      <c r="M813" s="29"/>
      <c r="N813" s="29"/>
      <c r="O813" s="52"/>
      <c r="P813" s="52"/>
      <c r="Q813" s="52"/>
      <c r="R813" s="53"/>
      <c r="S813" s="52"/>
      <c r="T813" s="52"/>
      <c r="U813" s="29"/>
      <c r="V813" s="54"/>
      <c r="W813" s="54"/>
    </row>
    <row r="814" ht="15.75" customHeight="1">
      <c r="A814" s="29"/>
      <c r="B814" s="16"/>
      <c r="C814" s="29"/>
      <c r="D814" s="29"/>
      <c r="E814" s="29"/>
      <c r="F814" s="29"/>
      <c r="G814" s="29"/>
      <c r="H814" s="41"/>
      <c r="I814" s="41"/>
      <c r="J814" s="51"/>
      <c r="K814" s="29"/>
      <c r="L814" s="29"/>
      <c r="M814" s="29"/>
      <c r="N814" s="29"/>
      <c r="O814" s="52"/>
      <c r="P814" s="52"/>
      <c r="Q814" s="52"/>
      <c r="R814" s="53"/>
      <c r="S814" s="52"/>
      <c r="T814" s="52"/>
      <c r="U814" s="29"/>
      <c r="V814" s="54"/>
      <c r="W814" s="54"/>
    </row>
    <row r="815" ht="15.75" customHeight="1">
      <c r="A815" s="29"/>
      <c r="B815" s="16"/>
      <c r="C815" s="29"/>
      <c r="D815" s="29"/>
      <c r="E815" s="29"/>
      <c r="F815" s="29"/>
      <c r="G815" s="29"/>
      <c r="H815" s="41"/>
      <c r="I815" s="41"/>
      <c r="J815" s="51"/>
      <c r="K815" s="29"/>
      <c r="L815" s="29"/>
      <c r="M815" s="29"/>
      <c r="N815" s="29"/>
      <c r="O815" s="52"/>
      <c r="P815" s="52"/>
      <c r="Q815" s="52"/>
      <c r="R815" s="53"/>
      <c r="S815" s="52"/>
      <c r="T815" s="52"/>
      <c r="U815" s="29"/>
      <c r="V815" s="54"/>
      <c r="W815" s="54"/>
    </row>
    <row r="816" ht="15.75" customHeight="1">
      <c r="A816" s="29"/>
      <c r="B816" s="16"/>
      <c r="C816" s="29"/>
      <c r="D816" s="29"/>
      <c r="E816" s="29"/>
      <c r="F816" s="29"/>
      <c r="G816" s="29"/>
      <c r="H816" s="41"/>
      <c r="I816" s="41"/>
      <c r="J816" s="51"/>
      <c r="K816" s="29"/>
      <c r="L816" s="29"/>
      <c r="M816" s="29"/>
      <c r="N816" s="29"/>
      <c r="O816" s="52"/>
      <c r="P816" s="52"/>
      <c r="Q816" s="52"/>
      <c r="R816" s="53"/>
      <c r="S816" s="52"/>
      <c r="T816" s="52"/>
      <c r="U816" s="29"/>
      <c r="V816" s="54"/>
      <c r="W816" s="54"/>
    </row>
    <row r="817" ht="15.75" customHeight="1">
      <c r="A817" s="29"/>
      <c r="B817" s="16"/>
      <c r="C817" s="29"/>
      <c r="D817" s="29"/>
      <c r="E817" s="29"/>
      <c r="F817" s="29"/>
      <c r="G817" s="29"/>
      <c r="H817" s="41"/>
      <c r="I817" s="41"/>
      <c r="J817" s="51"/>
      <c r="K817" s="29"/>
      <c r="L817" s="29"/>
      <c r="M817" s="29"/>
      <c r="N817" s="29"/>
      <c r="O817" s="52"/>
      <c r="P817" s="52"/>
      <c r="Q817" s="52"/>
      <c r="R817" s="53"/>
      <c r="S817" s="52"/>
      <c r="T817" s="52"/>
      <c r="U817" s="29"/>
      <c r="V817" s="54"/>
      <c r="W817" s="54"/>
    </row>
    <row r="818" ht="15.75" customHeight="1">
      <c r="A818" s="29"/>
      <c r="B818" s="16"/>
      <c r="C818" s="29"/>
      <c r="D818" s="29"/>
      <c r="E818" s="29"/>
      <c r="F818" s="29"/>
      <c r="G818" s="29"/>
      <c r="H818" s="41"/>
      <c r="I818" s="41"/>
      <c r="J818" s="51"/>
      <c r="K818" s="29"/>
      <c r="L818" s="29"/>
      <c r="M818" s="29"/>
      <c r="N818" s="29"/>
      <c r="O818" s="52"/>
      <c r="P818" s="52"/>
      <c r="Q818" s="52"/>
      <c r="R818" s="53"/>
      <c r="S818" s="52"/>
      <c r="T818" s="52"/>
      <c r="U818" s="29"/>
      <c r="V818" s="54"/>
      <c r="W818" s="54"/>
    </row>
    <row r="819" ht="15.75" customHeight="1">
      <c r="A819" s="29"/>
      <c r="B819" s="16"/>
      <c r="C819" s="29"/>
      <c r="D819" s="29"/>
      <c r="E819" s="29"/>
      <c r="F819" s="29"/>
      <c r="G819" s="29"/>
      <c r="H819" s="41"/>
      <c r="I819" s="41"/>
      <c r="J819" s="51"/>
      <c r="K819" s="29"/>
      <c r="L819" s="29"/>
      <c r="M819" s="29"/>
      <c r="N819" s="29"/>
      <c r="O819" s="52"/>
      <c r="P819" s="52"/>
      <c r="Q819" s="52"/>
      <c r="R819" s="53"/>
      <c r="S819" s="52"/>
      <c r="T819" s="52"/>
      <c r="U819" s="29"/>
      <c r="V819" s="54"/>
      <c r="W819" s="54"/>
    </row>
    <row r="820" ht="15.75" customHeight="1">
      <c r="A820" s="29"/>
      <c r="B820" s="16"/>
      <c r="C820" s="29"/>
      <c r="D820" s="29"/>
      <c r="E820" s="29"/>
      <c r="F820" s="29"/>
      <c r="G820" s="29"/>
      <c r="H820" s="41"/>
      <c r="I820" s="41"/>
      <c r="J820" s="51"/>
      <c r="K820" s="29"/>
      <c r="L820" s="29"/>
      <c r="M820" s="29"/>
      <c r="N820" s="29"/>
      <c r="O820" s="52"/>
      <c r="P820" s="52"/>
      <c r="Q820" s="52"/>
      <c r="R820" s="53"/>
      <c r="S820" s="52"/>
      <c r="T820" s="52"/>
      <c r="U820" s="29"/>
      <c r="V820" s="54"/>
      <c r="W820" s="54"/>
    </row>
    <row r="821" ht="15.75" customHeight="1">
      <c r="A821" s="29"/>
      <c r="B821" s="16"/>
      <c r="C821" s="29"/>
      <c r="D821" s="29"/>
      <c r="E821" s="29"/>
      <c r="F821" s="29"/>
      <c r="G821" s="29"/>
      <c r="H821" s="41"/>
      <c r="I821" s="41"/>
      <c r="J821" s="51"/>
      <c r="K821" s="29"/>
      <c r="L821" s="29"/>
      <c r="M821" s="29"/>
      <c r="N821" s="29"/>
      <c r="O821" s="52"/>
      <c r="P821" s="52"/>
      <c r="Q821" s="52"/>
      <c r="R821" s="53"/>
      <c r="S821" s="52"/>
      <c r="T821" s="52"/>
      <c r="U821" s="29"/>
      <c r="V821" s="54"/>
      <c r="W821" s="54"/>
    </row>
    <row r="822" ht="15.75" customHeight="1">
      <c r="A822" s="29"/>
      <c r="B822" s="16"/>
      <c r="C822" s="29"/>
      <c r="D822" s="29"/>
      <c r="E822" s="29"/>
      <c r="F822" s="29"/>
      <c r="G822" s="29"/>
      <c r="H822" s="41"/>
      <c r="I822" s="41"/>
      <c r="J822" s="51"/>
      <c r="K822" s="29"/>
      <c r="L822" s="29"/>
      <c r="M822" s="29"/>
      <c r="N822" s="29"/>
      <c r="O822" s="52"/>
      <c r="P822" s="52"/>
      <c r="Q822" s="52"/>
      <c r="R822" s="53"/>
      <c r="S822" s="52"/>
      <c r="T822" s="52"/>
      <c r="U822" s="29"/>
      <c r="V822" s="54"/>
      <c r="W822" s="54"/>
    </row>
    <row r="823" ht="15.75" customHeight="1">
      <c r="A823" s="29"/>
      <c r="B823" s="16"/>
      <c r="C823" s="29"/>
      <c r="D823" s="29"/>
      <c r="E823" s="29"/>
      <c r="F823" s="29"/>
      <c r="G823" s="29"/>
      <c r="H823" s="41"/>
      <c r="I823" s="41"/>
      <c r="J823" s="51"/>
      <c r="K823" s="29"/>
      <c r="L823" s="29"/>
      <c r="M823" s="29"/>
      <c r="N823" s="29"/>
      <c r="O823" s="52"/>
      <c r="P823" s="52"/>
      <c r="Q823" s="52"/>
      <c r="R823" s="53"/>
      <c r="S823" s="52"/>
      <c r="T823" s="52"/>
      <c r="U823" s="29"/>
      <c r="V823" s="54"/>
      <c r="W823" s="54"/>
    </row>
    <row r="824" ht="15.75" customHeight="1">
      <c r="A824" s="29"/>
      <c r="B824" s="16"/>
      <c r="C824" s="29"/>
      <c r="D824" s="29"/>
      <c r="E824" s="29"/>
      <c r="F824" s="29"/>
      <c r="G824" s="29"/>
      <c r="H824" s="41"/>
      <c r="I824" s="41"/>
      <c r="J824" s="51"/>
      <c r="K824" s="29"/>
      <c r="L824" s="29"/>
      <c r="M824" s="29"/>
      <c r="N824" s="29"/>
      <c r="O824" s="52"/>
      <c r="P824" s="52"/>
      <c r="Q824" s="52"/>
      <c r="R824" s="53"/>
      <c r="S824" s="52"/>
      <c r="T824" s="52"/>
      <c r="U824" s="29"/>
      <c r="V824" s="54"/>
      <c r="W824" s="54"/>
    </row>
    <row r="825" ht="15.75" customHeight="1">
      <c r="A825" s="29"/>
      <c r="B825" s="16"/>
      <c r="C825" s="29"/>
      <c r="D825" s="29"/>
      <c r="E825" s="29"/>
      <c r="F825" s="29"/>
      <c r="G825" s="29"/>
      <c r="H825" s="41"/>
      <c r="I825" s="41"/>
      <c r="J825" s="51"/>
      <c r="K825" s="29"/>
      <c r="L825" s="29"/>
      <c r="M825" s="29"/>
      <c r="N825" s="29"/>
      <c r="O825" s="52"/>
      <c r="P825" s="52"/>
      <c r="Q825" s="52"/>
      <c r="R825" s="53"/>
      <c r="S825" s="52"/>
      <c r="T825" s="52"/>
      <c r="U825" s="29"/>
      <c r="V825" s="54"/>
      <c r="W825" s="54"/>
    </row>
    <row r="826" ht="15.75" customHeight="1">
      <c r="A826" s="29"/>
      <c r="B826" s="16"/>
      <c r="C826" s="29"/>
      <c r="D826" s="29"/>
      <c r="E826" s="29"/>
      <c r="F826" s="29"/>
      <c r="G826" s="29"/>
      <c r="H826" s="41"/>
      <c r="I826" s="41"/>
      <c r="J826" s="51"/>
      <c r="K826" s="29"/>
      <c r="L826" s="29"/>
      <c r="M826" s="29"/>
      <c r="N826" s="29"/>
      <c r="O826" s="52"/>
      <c r="P826" s="52"/>
      <c r="Q826" s="52"/>
      <c r="R826" s="53"/>
      <c r="S826" s="52"/>
      <c r="T826" s="52"/>
      <c r="U826" s="29"/>
      <c r="V826" s="54"/>
      <c r="W826" s="54"/>
    </row>
    <row r="827" ht="15.75" customHeight="1">
      <c r="A827" s="29"/>
      <c r="B827" s="16"/>
      <c r="C827" s="29"/>
      <c r="D827" s="29"/>
      <c r="E827" s="29"/>
      <c r="F827" s="29"/>
      <c r="G827" s="29"/>
      <c r="H827" s="41"/>
      <c r="I827" s="41"/>
      <c r="J827" s="51"/>
      <c r="K827" s="29"/>
      <c r="L827" s="29"/>
      <c r="M827" s="29"/>
      <c r="N827" s="29"/>
      <c r="O827" s="52"/>
      <c r="P827" s="52"/>
      <c r="Q827" s="52"/>
      <c r="R827" s="53"/>
      <c r="S827" s="52"/>
      <c r="T827" s="52"/>
      <c r="U827" s="29"/>
      <c r="V827" s="54"/>
      <c r="W827" s="54"/>
    </row>
    <row r="828" ht="15.75" customHeight="1">
      <c r="A828" s="29"/>
      <c r="B828" s="16"/>
      <c r="C828" s="29"/>
      <c r="D828" s="29"/>
      <c r="E828" s="29"/>
      <c r="F828" s="29"/>
      <c r="G828" s="29"/>
      <c r="H828" s="41"/>
      <c r="I828" s="41"/>
      <c r="J828" s="51"/>
      <c r="K828" s="29"/>
      <c r="L828" s="29"/>
      <c r="M828" s="29"/>
      <c r="N828" s="29"/>
      <c r="O828" s="52"/>
      <c r="P828" s="52"/>
      <c r="Q828" s="52"/>
      <c r="R828" s="53"/>
      <c r="S828" s="52"/>
      <c r="T828" s="52"/>
      <c r="U828" s="29"/>
      <c r="V828" s="54"/>
      <c r="W828" s="54"/>
    </row>
    <row r="829" ht="15.75" customHeight="1">
      <c r="A829" s="29"/>
      <c r="B829" s="16"/>
      <c r="C829" s="29"/>
      <c r="D829" s="29"/>
      <c r="E829" s="29"/>
      <c r="F829" s="29"/>
      <c r="G829" s="29"/>
      <c r="H829" s="41"/>
      <c r="I829" s="41"/>
      <c r="J829" s="51"/>
      <c r="K829" s="29"/>
      <c r="L829" s="29"/>
      <c r="M829" s="29"/>
      <c r="N829" s="29"/>
      <c r="O829" s="52"/>
      <c r="P829" s="52"/>
      <c r="Q829" s="52"/>
      <c r="R829" s="53"/>
      <c r="S829" s="52"/>
      <c r="T829" s="52"/>
      <c r="U829" s="29"/>
      <c r="V829" s="54"/>
      <c r="W829" s="54"/>
    </row>
    <row r="830" ht="15.75" customHeight="1">
      <c r="A830" s="29"/>
      <c r="B830" s="16"/>
      <c r="C830" s="29"/>
      <c r="D830" s="29"/>
      <c r="E830" s="29"/>
      <c r="F830" s="29"/>
      <c r="G830" s="29"/>
      <c r="H830" s="41"/>
      <c r="I830" s="41"/>
      <c r="J830" s="51"/>
      <c r="K830" s="29"/>
      <c r="L830" s="29"/>
      <c r="M830" s="29"/>
      <c r="N830" s="29"/>
      <c r="O830" s="52"/>
      <c r="P830" s="52"/>
      <c r="Q830" s="52"/>
      <c r="R830" s="53"/>
      <c r="S830" s="52"/>
      <c r="T830" s="52"/>
      <c r="U830" s="29"/>
      <c r="V830" s="54"/>
      <c r="W830" s="54"/>
    </row>
    <row r="831" ht="15.75" customHeight="1">
      <c r="A831" s="29"/>
      <c r="B831" s="16"/>
      <c r="C831" s="29"/>
      <c r="D831" s="29"/>
      <c r="E831" s="29"/>
      <c r="F831" s="29"/>
      <c r="G831" s="29"/>
      <c r="H831" s="41"/>
      <c r="I831" s="41"/>
      <c r="J831" s="51"/>
      <c r="K831" s="29"/>
      <c r="L831" s="29"/>
      <c r="M831" s="29"/>
      <c r="N831" s="29"/>
      <c r="O831" s="52"/>
      <c r="P831" s="52"/>
      <c r="Q831" s="52"/>
      <c r="R831" s="53"/>
      <c r="S831" s="52"/>
      <c r="T831" s="52"/>
      <c r="U831" s="29"/>
      <c r="V831" s="54"/>
      <c r="W831" s="54"/>
    </row>
    <row r="832" ht="15.75" customHeight="1">
      <c r="A832" s="29"/>
      <c r="B832" s="16"/>
      <c r="C832" s="29"/>
      <c r="D832" s="29"/>
      <c r="E832" s="29"/>
      <c r="F832" s="29"/>
      <c r="G832" s="29"/>
      <c r="H832" s="41"/>
      <c r="I832" s="41"/>
      <c r="J832" s="51"/>
      <c r="K832" s="29"/>
      <c r="L832" s="29"/>
      <c r="M832" s="29"/>
      <c r="N832" s="29"/>
      <c r="O832" s="52"/>
      <c r="P832" s="52"/>
      <c r="Q832" s="52"/>
      <c r="R832" s="53"/>
      <c r="S832" s="52"/>
      <c r="T832" s="52"/>
      <c r="U832" s="29"/>
      <c r="V832" s="54"/>
      <c r="W832" s="54"/>
    </row>
    <row r="833" ht="15.75" customHeight="1">
      <c r="A833" s="29"/>
      <c r="B833" s="16"/>
      <c r="C833" s="29"/>
      <c r="D833" s="29"/>
      <c r="E833" s="29"/>
      <c r="F833" s="29"/>
      <c r="G833" s="29"/>
      <c r="H833" s="41"/>
      <c r="I833" s="41"/>
      <c r="J833" s="51"/>
      <c r="K833" s="29"/>
      <c r="L833" s="29"/>
      <c r="M833" s="29"/>
      <c r="N833" s="29"/>
      <c r="O833" s="52"/>
      <c r="P833" s="52"/>
      <c r="Q833" s="52"/>
      <c r="R833" s="53"/>
      <c r="S833" s="52"/>
      <c r="T833" s="52"/>
      <c r="U833" s="29"/>
      <c r="V833" s="54"/>
      <c r="W833" s="54"/>
    </row>
    <row r="834" ht="15.75" customHeight="1">
      <c r="A834" s="29"/>
      <c r="B834" s="16"/>
      <c r="C834" s="29"/>
      <c r="D834" s="29"/>
      <c r="E834" s="29"/>
      <c r="F834" s="29"/>
      <c r="G834" s="29"/>
      <c r="H834" s="41"/>
      <c r="I834" s="41"/>
      <c r="J834" s="51"/>
      <c r="K834" s="29"/>
      <c r="L834" s="29"/>
      <c r="M834" s="29"/>
      <c r="N834" s="29"/>
      <c r="O834" s="52"/>
      <c r="P834" s="52"/>
      <c r="Q834" s="52"/>
      <c r="R834" s="53"/>
      <c r="S834" s="52"/>
      <c r="T834" s="52"/>
      <c r="U834" s="29"/>
      <c r="V834" s="54"/>
      <c r="W834" s="54"/>
    </row>
    <row r="835" ht="15.75" customHeight="1">
      <c r="A835" s="29"/>
      <c r="B835" s="16"/>
      <c r="C835" s="29"/>
      <c r="D835" s="29"/>
      <c r="E835" s="29"/>
      <c r="F835" s="29"/>
      <c r="G835" s="29"/>
      <c r="H835" s="41"/>
      <c r="I835" s="41"/>
      <c r="J835" s="51"/>
      <c r="K835" s="29"/>
      <c r="L835" s="29"/>
      <c r="M835" s="29"/>
      <c r="N835" s="29"/>
      <c r="O835" s="52"/>
      <c r="P835" s="52"/>
      <c r="Q835" s="52"/>
      <c r="R835" s="53"/>
      <c r="S835" s="52"/>
      <c r="T835" s="52"/>
      <c r="U835" s="29"/>
      <c r="V835" s="54"/>
      <c r="W835" s="54"/>
    </row>
    <row r="836" ht="15.75" customHeight="1">
      <c r="A836" s="29"/>
      <c r="B836" s="16"/>
      <c r="C836" s="29"/>
      <c r="D836" s="29"/>
      <c r="E836" s="29"/>
      <c r="F836" s="29"/>
      <c r="G836" s="29"/>
      <c r="H836" s="41"/>
      <c r="I836" s="41"/>
      <c r="J836" s="51"/>
      <c r="K836" s="29"/>
      <c r="L836" s="29"/>
      <c r="M836" s="29"/>
      <c r="N836" s="29"/>
      <c r="O836" s="52"/>
      <c r="P836" s="52"/>
      <c r="Q836" s="52"/>
      <c r="R836" s="53"/>
      <c r="S836" s="52"/>
      <c r="T836" s="52"/>
      <c r="U836" s="29"/>
      <c r="V836" s="54"/>
      <c r="W836" s="54"/>
    </row>
    <row r="837" ht="15.75" customHeight="1">
      <c r="A837" s="29"/>
      <c r="B837" s="16"/>
      <c r="C837" s="29"/>
      <c r="D837" s="29"/>
      <c r="E837" s="29"/>
      <c r="F837" s="29"/>
      <c r="G837" s="29"/>
      <c r="H837" s="41"/>
      <c r="I837" s="41"/>
      <c r="J837" s="51"/>
      <c r="K837" s="29"/>
      <c r="L837" s="29"/>
      <c r="M837" s="29"/>
      <c r="N837" s="29"/>
      <c r="O837" s="52"/>
      <c r="P837" s="52"/>
      <c r="Q837" s="52"/>
      <c r="R837" s="53"/>
      <c r="S837" s="52"/>
      <c r="T837" s="52"/>
      <c r="U837" s="29"/>
      <c r="V837" s="54"/>
      <c r="W837" s="54"/>
    </row>
    <row r="838" ht="15.75" customHeight="1">
      <c r="A838" s="29"/>
      <c r="B838" s="16"/>
      <c r="C838" s="29"/>
      <c r="D838" s="29"/>
      <c r="E838" s="29"/>
      <c r="F838" s="29"/>
      <c r="G838" s="29"/>
      <c r="H838" s="41"/>
      <c r="I838" s="41"/>
      <c r="J838" s="51"/>
      <c r="K838" s="29"/>
      <c r="L838" s="29"/>
      <c r="M838" s="29"/>
      <c r="N838" s="29"/>
      <c r="O838" s="52"/>
      <c r="P838" s="52"/>
      <c r="Q838" s="52"/>
      <c r="R838" s="53"/>
      <c r="S838" s="52"/>
      <c r="T838" s="52"/>
      <c r="U838" s="29"/>
      <c r="V838" s="54"/>
      <c r="W838" s="54"/>
    </row>
    <row r="839" ht="15.75" customHeight="1">
      <c r="A839" s="29"/>
      <c r="B839" s="16"/>
      <c r="C839" s="29"/>
      <c r="D839" s="29"/>
      <c r="E839" s="29"/>
      <c r="F839" s="29"/>
      <c r="G839" s="29"/>
      <c r="H839" s="41"/>
      <c r="I839" s="41"/>
      <c r="J839" s="51"/>
      <c r="K839" s="29"/>
      <c r="L839" s="29"/>
      <c r="M839" s="29"/>
      <c r="N839" s="29"/>
      <c r="O839" s="52"/>
      <c r="P839" s="52"/>
      <c r="Q839" s="52"/>
      <c r="R839" s="53"/>
      <c r="S839" s="52"/>
      <c r="T839" s="52"/>
      <c r="U839" s="29"/>
      <c r="V839" s="54"/>
      <c r="W839" s="54"/>
    </row>
    <row r="840" ht="15.75" customHeight="1">
      <c r="A840" s="29"/>
      <c r="B840" s="16"/>
      <c r="C840" s="29"/>
      <c r="D840" s="29"/>
      <c r="E840" s="29"/>
      <c r="F840" s="29"/>
      <c r="G840" s="29"/>
      <c r="H840" s="41"/>
      <c r="I840" s="41"/>
      <c r="J840" s="51"/>
      <c r="K840" s="29"/>
      <c r="L840" s="29"/>
      <c r="M840" s="29"/>
      <c r="N840" s="29"/>
      <c r="O840" s="52"/>
      <c r="P840" s="52"/>
      <c r="Q840" s="52"/>
      <c r="R840" s="53"/>
      <c r="S840" s="52"/>
      <c r="T840" s="52"/>
      <c r="U840" s="29"/>
      <c r="V840" s="54"/>
      <c r="W840" s="54"/>
    </row>
    <row r="841" ht="15.75" customHeight="1">
      <c r="A841" s="29"/>
      <c r="B841" s="16"/>
      <c r="C841" s="29"/>
      <c r="D841" s="29"/>
      <c r="E841" s="29"/>
      <c r="F841" s="29"/>
      <c r="G841" s="29"/>
      <c r="H841" s="41"/>
      <c r="I841" s="41"/>
      <c r="J841" s="51"/>
      <c r="K841" s="29"/>
      <c r="L841" s="29"/>
      <c r="M841" s="29"/>
      <c r="N841" s="29"/>
      <c r="O841" s="52"/>
      <c r="P841" s="52"/>
      <c r="Q841" s="52"/>
      <c r="R841" s="53"/>
      <c r="S841" s="52"/>
      <c r="T841" s="52"/>
      <c r="U841" s="29"/>
      <c r="V841" s="54"/>
      <c r="W841" s="54"/>
    </row>
    <row r="842" ht="15.75" customHeight="1">
      <c r="A842" s="29"/>
      <c r="B842" s="16"/>
      <c r="C842" s="29"/>
      <c r="D842" s="29"/>
      <c r="E842" s="29"/>
      <c r="F842" s="29"/>
      <c r="G842" s="29"/>
      <c r="H842" s="41"/>
      <c r="I842" s="41"/>
      <c r="J842" s="51"/>
      <c r="K842" s="29"/>
      <c r="L842" s="29"/>
      <c r="M842" s="29"/>
      <c r="N842" s="29"/>
      <c r="O842" s="52"/>
      <c r="P842" s="52"/>
      <c r="Q842" s="52"/>
      <c r="R842" s="53"/>
      <c r="S842" s="52"/>
      <c r="T842" s="52"/>
      <c r="U842" s="29"/>
      <c r="V842" s="54"/>
      <c r="W842" s="54"/>
    </row>
    <row r="843" ht="15.75" customHeight="1">
      <c r="A843" s="29"/>
      <c r="B843" s="16"/>
      <c r="C843" s="29"/>
      <c r="D843" s="29"/>
      <c r="E843" s="29"/>
      <c r="F843" s="29"/>
      <c r="G843" s="29"/>
      <c r="H843" s="41"/>
      <c r="I843" s="41"/>
      <c r="J843" s="51"/>
      <c r="K843" s="29"/>
      <c r="L843" s="29"/>
      <c r="M843" s="29"/>
      <c r="N843" s="29"/>
      <c r="O843" s="52"/>
      <c r="P843" s="52"/>
      <c r="Q843" s="52"/>
      <c r="R843" s="53"/>
      <c r="S843" s="52"/>
      <c r="T843" s="52"/>
      <c r="U843" s="29"/>
      <c r="V843" s="54"/>
      <c r="W843" s="54"/>
    </row>
    <row r="844" ht="15.75" customHeight="1">
      <c r="A844" s="29"/>
      <c r="B844" s="16"/>
      <c r="C844" s="29"/>
      <c r="D844" s="29"/>
      <c r="E844" s="29"/>
      <c r="F844" s="29"/>
      <c r="G844" s="29"/>
      <c r="H844" s="41"/>
      <c r="I844" s="41"/>
      <c r="J844" s="51"/>
      <c r="K844" s="29"/>
      <c r="L844" s="29"/>
      <c r="M844" s="29"/>
      <c r="N844" s="29"/>
      <c r="O844" s="52"/>
      <c r="P844" s="52"/>
      <c r="Q844" s="52"/>
      <c r="R844" s="53"/>
      <c r="S844" s="52"/>
      <c r="T844" s="52"/>
      <c r="U844" s="29"/>
      <c r="V844" s="54"/>
      <c r="W844" s="54"/>
    </row>
    <row r="845" ht="15.75" customHeight="1">
      <c r="A845" s="29"/>
      <c r="B845" s="16"/>
      <c r="C845" s="29"/>
      <c r="D845" s="29"/>
      <c r="E845" s="29"/>
      <c r="F845" s="29"/>
      <c r="G845" s="29"/>
      <c r="H845" s="41"/>
      <c r="I845" s="41"/>
      <c r="J845" s="51"/>
      <c r="K845" s="29"/>
      <c r="L845" s="29"/>
      <c r="M845" s="29"/>
      <c r="N845" s="29"/>
      <c r="O845" s="52"/>
      <c r="P845" s="52"/>
      <c r="Q845" s="52"/>
      <c r="R845" s="53"/>
      <c r="S845" s="52"/>
      <c r="T845" s="52"/>
      <c r="U845" s="29"/>
      <c r="V845" s="54"/>
      <c r="W845" s="54"/>
    </row>
    <row r="846" ht="15.75" customHeight="1">
      <c r="A846" s="29"/>
      <c r="B846" s="16"/>
      <c r="C846" s="29"/>
      <c r="D846" s="29"/>
      <c r="E846" s="29"/>
      <c r="F846" s="29"/>
      <c r="G846" s="29"/>
      <c r="H846" s="41"/>
      <c r="I846" s="41"/>
      <c r="J846" s="51"/>
      <c r="K846" s="29"/>
      <c r="L846" s="29"/>
      <c r="M846" s="29"/>
      <c r="N846" s="29"/>
      <c r="O846" s="52"/>
      <c r="P846" s="52"/>
      <c r="Q846" s="52"/>
      <c r="R846" s="53"/>
      <c r="S846" s="52"/>
      <c r="T846" s="52"/>
      <c r="U846" s="29"/>
      <c r="V846" s="54"/>
      <c r="W846" s="54"/>
    </row>
    <row r="847" ht="15.75" customHeight="1">
      <c r="A847" s="29"/>
      <c r="B847" s="16"/>
      <c r="C847" s="29"/>
      <c r="D847" s="29"/>
      <c r="E847" s="29"/>
      <c r="F847" s="29"/>
      <c r="G847" s="29"/>
      <c r="H847" s="41"/>
      <c r="I847" s="41"/>
      <c r="J847" s="51"/>
      <c r="K847" s="29"/>
      <c r="L847" s="29"/>
      <c r="M847" s="29"/>
      <c r="N847" s="29"/>
      <c r="O847" s="52"/>
      <c r="P847" s="52"/>
      <c r="Q847" s="52"/>
      <c r="R847" s="53"/>
      <c r="S847" s="52"/>
      <c r="T847" s="52"/>
      <c r="U847" s="29"/>
      <c r="V847" s="54"/>
      <c r="W847" s="54"/>
    </row>
    <row r="848" ht="15.75" customHeight="1">
      <c r="A848" s="29"/>
      <c r="B848" s="16"/>
      <c r="C848" s="29"/>
      <c r="D848" s="29"/>
      <c r="E848" s="29"/>
      <c r="F848" s="29"/>
      <c r="G848" s="29"/>
      <c r="H848" s="41"/>
      <c r="I848" s="41"/>
      <c r="J848" s="51"/>
      <c r="K848" s="29"/>
      <c r="L848" s="29"/>
      <c r="M848" s="29"/>
      <c r="N848" s="29"/>
      <c r="O848" s="52"/>
      <c r="P848" s="52"/>
      <c r="Q848" s="52"/>
      <c r="R848" s="53"/>
      <c r="S848" s="52"/>
      <c r="T848" s="52"/>
      <c r="U848" s="29"/>
      <c r="V848" s="54"/>
      <c r="W848" s="54"/>
    </row>
    <row r="849" ht="15.75" customHeight="1">
      <c r="A849" s="29"/>
      <c r="B849" s="16"/>
      <c r="C849" s="29"/>
      <c r="D849" s="29"/>
      <c r="E849" s="29"/>
      <c r="F849" s="29"/>
      <c r="G849" s="29"/>
      <c r="H849" s="41"/>
      <c r="I849" s="41"/>
      <c r="J849" s="51"/>
      <c r="K849" s="29"/>
      <c r="L849" s="29"/>
      <c r="M849" s="29"/>
      <c r="N849" s="29"/>
      <c r="O849" s="52"/>
      <c r="P849" s="52"/>
      <c r="Q849" s="52"/>
      <c r="R849" s="53"/>
      <c r="S849" s="52"/>
      <c r="T849" s="52"/>
      <c r="U849" s="29"/>
      <c r="V849" s="54"/>
      <c r="W849" s="54"/>
    </row>
    <row r="850" ht="15.75" customHeight="1">
      <c r="A850" s="29"/>
      <c r="B850" s="16"/>
      <c r="C850" s="29"/>
      <c r="D850" s="29"/>
      <c r="E850" s="29"/>
      <c r="F850" s="29"/>
      <c r="G850" s="29"/>
      <c r="H850" s="41"/>
      <c r="I850" s="41"/>
      <c r="J850" s="51"/>
      <c r="K850" s="29"/>
      <c r="L850" s="29"/>
      <c r="M850" s="29"/>
      <c r="N850" s="29"/>
      <c r="O850" s="52"/>
      <c r="P850" s="52"/>
      <c r="Q850" s="52"/>
      <c r="R850" s="53"/>
      <c r="S850" s="52"/>
      <c r="T850" s="52"/>
      <c r="U850" s="29"/>
      <c r="V850" s="54"/>
      <c r="W850" s="54"/>
    </row>
    <row r="851" ht="15.75" customHeight="1">
      <c r="A851" s="29"/>
      <c r="B851" s="16"/>
      <c r="C851" s="29"/>
      <c r="D851" s="29"/>
      <c r="E851" s="29"/>
      <c r="F851" s="29"/>
      <c r="G851" s="29"/>
      <c r="H851" s="41"/>
      <c r="I851" s="41"/>
      <c r="J851" s="51"/>
      <c r="K851" s="29"/>
      <c r="L851" s="29"/>
      <c r="M851" s="29"/>
      <c r="N851" s="29"/>
      <c r="O851" s="52"/>
      <c r="P851" s="52"/>
      <c r="Q851" s="52"/>
      <c r="R851" s="53"/>
      <c r="S851" s="52"/>
      <c r="T851" s="52"/>
      <c r="U851" s="29"/>
      <c r="V851" s="54"/>
      <c r="W851" s="54"/>
    </row>
    <row r="852" ht="15.75" customHeight="1">
      <c r="A852" s="29"/>
      <c r="B852" s="16"/>
      <c r="C852" s="29"/>
      <c r="D852" s="29"/>
      <c r="E852" s="29"/>
      <c r="F852" s="29"/>
      <c r="G852" s="29"/>
      <c r="H852" s="41"/>
      <c r="I852" s="41"/>
      <c r="J852" s="51"/>
      <c r="K852" s="29"/>
      <c r="L852" s="29"/>
      <c r="M852" s="29"/>
      <c r="N852" s="29"/>
      <c r="O852" s="52"/>
      <c r="P852" s="52"/>
      <c r="Q852" s="52"/>
      <c r="R852" s="53"/>
      <c r="S852" s="52"/>
      <c r="T852" s="52"/>
      <c r="U852" s="29"/>
      <c r="V852" s="54"/>
      <c r="W852" s="54"/>
    </row>
    <row r="853" ht="15.75" customHeight="1">
      <c r="A853" s="29"/>
      <c r="B853" s="16"/>
      <c r="C853" s="29"/>
      <c r="D853" s="29"/>
      <c r="E853" s="29"/>
      <c r="F853" s="29"/>
      <c r="G853" s="29"/>
      <c r="H853" s="41"/>
      <c r="I853" s="41"/>
      <c r="J853" s="51"/>
      <c r="K853" s="29"/>
      <c r="L853" s="29"/>
      <c r="M853" s="29"/>
      <c r="N853" s="29"/>
      <c r="O853" s="52"/>
      <c r="P853" s="52"/>
      <c r="Q853" s="52"/>
      <c r="R853" s="53"/>
      <c r="S853" s="52"/>
      <c r="T853" s="52"/>
      <c r="U853" s="29"/>
      <c r="V853" s="54"/>
      <c r="W853" s="54"/>
    </row>
    <row r="854" ht="15.75" customHeight="1">
      <c r="A854" s="29"/>
      <c r="B854" s="16"/>
      <c r="C854" s="29"/>
      <c r="D854" s="29"/>
      <c r="E854" s="29"/>
      <c r="F854" s="29"/>
      <c r="G854" s="29"/>
      <c r="H854" s="41"/>
      <c r="I854" s="41"/>
      <c r="J854" s="51"/>
      <c r="K854" s="29"/>
      <c r="L854" s="29"/>
      <c r="M854" s="29"/>
      <c r="N854" s="29"/>
      <c r="O854" s="52"/>
      <c r="P854" s="52"/>
      <c r="Q854" s="52"/>
      <c r="R854" s="53"/>
      <c r="S854" s="52"/>
      <c r="T854" s="52"/>
      <c r="U854" s="29"/>
      <c r="V854" s="54"/>
      <c r="W854" s="54"/>
    </row>
    <row r="855" ht="15.75" customHeight="1">
      <c r="A855" s="29"/>
      <c r="B855" s="16"/>
      <c r="C855" s="29"/>
      <c r="D855" s="29"/>
      <c r="E855" s="29"/>
      <c r="F855" s="29"/>
      <c r="G855" s="29"/>
      <c r="H855" s="41"/>
      <c r="I855" s="41"/>
      <c r="J855" s="51"/>
      <c r="K855" s="29"/>
      <c r="L855" s="29"/>
      <c r="M855" s="29"/>
      <c r="N855" s="29"/>
      <c r="O855" s="52"/>
      <c r="P855" s="52"/>
      <c r="Q855" s="52"/>
      <c r="R855" s="53"/>
      <c r="S855" s="52"/>
      <c r="T855" s="52"/>
      <c r="U855" s="29"/>
      <c r="V855" s="54"/>
      <c r="W855" s="54"/>
    </row>
    <row r="856" ht="15.75" customHeight="1">
      <c r="A856" s="29"/>
      <c r="B856" s="16"/>
      <c r="C856" s="29"/>
      <c r="D856" s="29"/>
      <c r="E856" s="29"/>
      <c r="F856" s="29"/>
      <c r="G856" s="29"/>
      <c r="H856" s="41"/>
      <c r="I856" s="41"/>
      <c r="J856" s="51"/>
      <c r="K856" s="29"/>
      <c r="L856" s="29"/>
      <c r="M856" s="29"/>
      <c r="N856" s="29"/>
      <c r="O856" s="52"/>
      <c r="P856" s="52"/>
      <c r="Q856" s="52"/>
      <c r="R856" s="53"/>
      <c r="S856" s="52"/>
      <c r="T856" s="52"/>
      <c r="U856" s="29"/>
      <c r="V856" s="54"/>
      <c r="W856" s="54"/>
    </row>
    <row r="857" ht="15.75" customHeight="1">
      <c r="A857" s="29"/>
      <c r="B857" s="16"/>
      <c r="C857" s="29"/>
      <c r="D857" s="29"/>
      <c r="E857" s="29"/>
      <c r="F857" s="29"/>
      <c r="G857" s="29"/>
      <c r="H857" s="41"/>
      <c r="I857" s="41"/>
      <c r="J857" s="51"/>
      <c r="K857" s="29"/>
      <c r="L857" s="29"/>
      <c r="M857" s="29"/>
      <c r="N857" s="29"/>
      <c r="O857" s="52"/>
      <c r="P857" s="52"/>
      <c r="Q857" s="52"/>
      <c r="R857" s="53"/>
      <c r="S857" s="52"/>
      <c r="T857" s="52"/>
      <c r="U857" s="29"/>
      <c r="V857" s="54"/>
      <c r="W857" s="54"/>
    </row>
    <row r="858" ht="15.75" customHeight="1">
      <c r="A858" s="29"/>
      <c r="B858" s="16"/>
      <c r="C858" s="29"/>
      <c r="D858" s="29"/>
      <c r="E858" s="29"/>
      <c r="F858" s="29"/>
      <c r="G858" s="29"/>
      <c r="H858" s="41"/>
      <c r="I858" s="41"/>
      <c r="J858" s="51"/>
      <c r="K858" s="29"/>
      <c r="L858" s="29"/>
      <c r="M858" s="29"/>
      <c r="N858" s="29"/>
      <c r="O858" s="52"/>
      <c r="P858" s="52"/>
      <c r="Q858" s="52"/>
      <c r="R858" s="53"/>
      <c r="S858" s="52"/>
      <c r="T858" s="52"/>
      <c r="U858" s="29"/>
      <c r="V858" s="54"/>
      <c r="W858" s="54"/>
    </row>
    <row r="859" ht="15.75" customHeight="1">
      <c r="A859" s="29"/>
      <c r="B859" s="16"/>
      <c r="C859" s="29"/>
      <c r="D859" s="29"/>
      <c r="E859" s="29"/>
      <c r="F859" s="29"/>
      <c r="G859" s="29"/>
      <c r="H859" s="41"/>
      <c r="I859" s="41"/>
      <c r="J859" s="51"/>
      <c r="K859" s="29"/>
      <c r="L859" s="29"/>
      <c r="M859" s="29"/>
      <c r="N859" s="29"/>
      <c r="O859" s="52"/>
      <c r="P859" s="52"/>
      <c r="Q859" s="52"/>
      <c r="R859" s="53"/>
      <c r="S859" s="52"/>
      <c r="T859" s="52"/>
      <c r="U859" s="29"/>
      <c r="V859" s="54"/>
      <c r="W859" s="54"/>
    </row>
    <row r="860" ht="15.75" customHeight="1">
      <c r="A860" s="29"/>
      <c r="B860" s="16"/>
      <c r="C860" s="29"/>
      <c r="D860" s="29"/>
      <c r="E860" s="29"/>
      <c r="F860" s="29"/>
      <c r="G860" s="29"/>
      <c r="H860" s="41"/>
      <c r="I860" s="41"/>
      <c r="J860" s="51"/>
      <c r="K860" s="29"/>
      <c r="L860" s="29"/>
      <c r="M860" s="29"/>
      <c r="N860" s="29"/>
      <c r="O860" s="52"/>
      <c r="P860" s="52"/>
      <c r="Q860" s="52"/>
      <c r="R860" s="53"/>
      <c r="S860" s="52"/>
      <c r="T860" s="52"/>
      <c r="U860" s="29"/>
      <c r="V860" s="54"/>
      <c r="W860" s="54"/>
    </row>
    <row r="861" ht="15.75" customHeight="1">
      <c r="A861" s="29"/>
      <c r="B861" s="16"/>
      <c r="C861" s="29"/>
      <c r="D861" s="29"/>
      <c r="E861" s="29"/>
      <c r="F861" s="29"/>
      <c r="G861" s="29"/>
      <c r="H861" s="41"/>
      <c r="I861" s="41"/>
      <c r="J861" s="51"/>
      <c r="K861" s="29"/>
      <c r="L861" s="29"/>
      <c r="M861" s="29"/>
      <c r="N861" s="29"/>
      <c r="O861" s="52"/>
      <c r="P861" s="52"/>
      <c r="Q861" s="52"/>
      <c r="R861" s="53"/>
      <c r="S861" s="52"/>
      <c r="T861" s="52"/>
      <c r="U861" s="29"/>
      <c r="V861" s="54"/>
      <c r="W861" s="54"/>
    </row>
    <row r="862" ht="15.75" customHeight="1">
      <c r="A862" s="29"/>
      <c r="B862" s="16"/>
      <c r="C862" s="29"/>
      <c r="D862" s="29"/>
      <c r="E862" s="29"/>
      <c r="F862" s="29"/>
      <c r="G862" s="29"/>
      <c r="H862" s="41"/>
      <c r="I862" s="41"/>
      <c r="J862" s="51"/>
      <c r="K862" s="29"/>
      <c r="L862" s="29"/>
      <c r="M862" s="29"/>
      <c r="N862" s="29"/>
      <c r="O862" s="52"/>
      <c r="P862" s="52"/>
      <c r="Q862" s="52"/>
      <c r="R862" s="53"/>
      <c r="S862" s="52"/>
      <c r="T862" s="52"/>
      <c r="U862" s="29"/>
      <c r="V862" s="54"/>
      <c r="W862" s="54"/>
    </row>
    <row r="863" ht="15.75" customHeight="1">
      <c r="A863" s="29"/>
      <c r="B863" s="16"/>
      <c r="C863" s="29"/>
      <c r="D863" s="29"/>
      <c r="E863" s="29"/>
      <c r="F863" s="29"/>
      <c r="G863" s="29"/>
      <c r="H863" s="41"/>
      <c r="I863" s="41"/>
      <c r="J863" s="51"/>
      <c r="K863" s="29"/>
      <c r="L863" s="29"/>
      <c r="M863" s="29"/>
      <c r="N863" s="29"/>
      <c r="O863" s="52"/>
      <c r="P863" s="52"/>
      <c r="Q863" s="52"/>
      <c r="R863" s="53"/>
      <c r="S863" s="52"/>
      <c r="T863" s="52"/>
      <c r="U863" s="29"/>
      <c r="V863" s="54"/>
      <c r="W863" s="54"/>
    </row>
    <row r="864" ht="15.75" customHeight="1">
      <c r="A864" s="29"/>
      <c r="B864" s="16"/>
      <c r="C864" s="29"/>
      <c r="D864" s="29"/>
      <c r="E864" s="29"/>
      <c r="F864" s="29"/>
      <c r="G864" s="29"/>
      <c r="H864" s="41"/>
      <c r="I864" s="41"/>
      <c r="J864" s="51"/>
      <c r="K864" s="29"/>
      <c r="L864" s="29"/>
      <c r="M864" s="29"/>
      <c r="N864" s="29"/>
      <c r="O864" s="52"/>
      <c r="P864" s="52"/>
      <c r="Q864" s="52"/>
      <c r="R864" s="53"/>
      <c r="S864" s="52"/>
      <c r="T864" s="52"/>
      <c r="U864" s="29"/>
      <c r="V864" s="54"/>
      <c r="W864" s="54"/>
    </row>
    <row r="865" ht="15.75" customHeight="1">
      <c r="A865" s="29"/>
      <c r="B865" s="16"/>
      <c r="C865" s="29"/>
      <c r="D865" s="29"/>
      <c r="E865" s="29"/>
      <c r="F865" s="29"/>
      <c r="G865" s="29"/>
      <c r="H865" s="41"/>
      <c r="I865" s="41"/>
      <c r="J865" s="51"/>
      <c r="K865" s="29"/>
      <c r="L865" s="29"/>
      <c r="M865" s="29"/>
      <c r="N865" s="29"/>
      <c r="O865" s="52"/>
      <c r="P865" s="52"/>
      <c r="Q865" s="52"/>
      <c r="R865" s="53"/>
      <c r="S865" s="52"/>
      <c r="T865" s="52"/>
      <c r="U865" s="29"/>
      <c r="V865" s="54"/>
      <c r="W865" s="54"/>
    </row>
    <row r="866" ht="15.75" customHeight="1">
      <c r="A866" s="29"/>
      <c r="B866" s="16"/>
      <c r="C866" s="29"/>
      <c r="D866" s="29"/>
      <c r="E866" s="29"/>
      <c r="F866" s="29"/>
      <c r="G866" s="29"/>
      <c r="H866" s="41"/>
      <c r="I866" s="41"/>
      <c r="J866" s="51"/>
      <c r="K866" s="29"/>
      <c r="L866" s="29"/>
      <c r="M866" s="29"/>
      <c r="N866" s="29"/>
      <c r="O866" s="52"/>
      <c r="P866" s="52"/>
      <c r="Q866" s="52"/>
      <c r="R866" s="53"/>
      <c r="S866" s="52"/>
      <c r="T866" s="52"/>
      <c r="U866" s="29"/>
      <c r="V866" s="54"/>
      <c r="W866" s="54"/>
    </row>
    <row r="867" ht="15.75" customHeight="1">
      <c r="A867" s="29"/>
      <c r="B867" s="16"/>
      <c r="C867" s="29"/>
      <c r="D867" s="29"/>
      <c r="E867" s="29"/>
      <c r="F867" s="29"/>
      <c r="G867" s="29"/>
      <c r="H867" s="41"/>
      <c r="I867" s="41"/>
      <c r="J867" s="51"/>
      <c r="K867" s="29"/>
      <c r="L867" s="29"/>
      <c r="M867" s="29"/>
      <c r="N867" s="29"/>
      <c r="O867" s="52"/>
      <c r="P867" s="52"/>
      <c r="Q867" s="52"/>
      <c r="R867" s="53"/>
      <c r="S867" s="52"/>
      <c r="T867" s="52"/>
      <c r="U867" s="29"/>
      <c r="V867" s="54"/>
      <c r="W867" s="54"/>
    </row>
    <row r="868" ht="15.75" customHeight="1">
      <c r="A868" s="29"/>
      <c r="B868" s="16"/>
      <c r="C868" s="29"/>
      <c r="D868" s="29"/>
      <c r="E868" s="29"/>
      <c r="F868" s="29"/>
      <c r="G868" s="29"/>
      <c r="H868" s="41"/>
      <c r="I868" s="41"/>
      <c r="J868" s="51"/>
      <c r="K868" s="29"/>
      <c r="L868" s="29"/>
      <c r="M868" s="29"/>
      <c r="N868" s="29"/>
      <c r="O868" s="52"/>
      <c r="P868" s="52"/>
      <c r="Q868" s="52"/>
      <c r="R868" s="53"/>
      <c r="S868" s="52"/>
      <c r="T868" s="52"/>
      <c r="U868" s="29"/>
      <c r="V868" s="54"/>
      <c r="W868" s="54"/>
    </row>
    <row r="869" ht="15.75" customHeight="1">
      <c r="A869" s="29"/>
      <c r="B869" s="16"/>
      <c r="C869" s="29"/>
      <c r="D869" s="29"/>
      <c r="E869" s="29"/>
      <c r="F869" s="29"/>
      <c r="G869" s="29"/>
      <c r="H869" s="41"/>
      <c r="I869" s="41"/>
      <c r="J869" s="51"/>
      <c r="K869" s="29"/>
      <c r="L869" s="29"/>
      <c r="M869" s="29"/>
      <c r="N869" s="29"/>
      <c r="O869" s="52"/>
      <c r="P869" s="52"/>
      <c r="Q869" s="52"/>
      <c r="R869" s="53"/>
      <c r="S869" s="52"/>
      <c r="T869" s="52"/>
      <c r="U869" s="29"/>
      <c r="V869" s="54"/>
      <c r="W869" s="54"/>
    </row>
    <row r="870" ht="15.75" customHeight="1">
      <c r="A870" s="29"/>
      <c r="B870" s="16"/>
      <c r="C870" s="29"/>
      <c r="D870" s="29"/>
      <c r="E870" s="29"/>
      <c r="F870" s="29"/>
      <c r="G870" s="29"/>
      <c r="H870" s="41"/>
      <c r="I870" s="41"/>
      <c r="J870" s="51"/>
      <c r="K870" s="29"/>
      <c r="L870" s="29"/>
      <c r="M870" s="29"/>
      <c r="N870" s="29"/>
      <c r="O870" s="52"/>
      <c r="P870" s="52"/>
      <c r="Q870" s="52"/>
      <c r="R870" s="53"/>
      <c r="S870" s="52"/>
      <c r="T870" s="52"/>
      <c r="U870" s="29"/>
      <c r="V870" s="54"/>
      <c r="W870" s="54"/>
    </row>
    <row r="871" ht="15.75" customHeight="1">
      <c r="A871" s="29"/>
      <c r="B871" s="16"/>
      <c r="C871" s="29"/>
      <c r="D871" s="29"/>
      <c r="E871" s="29"/>
      <c r="F871" s="29"/>
      <c r="G871" s="29"/>
      <c r="H871" s="41"/>
      <c r="I871" s="41"/>
      <c r="J871" s="51"/>
      <c r="K871" s="29"/>
      <c r="L871" s="29"/>
      <c r="M871" s="29"/>
      <c r="N871" s="29"/>
      <c r="O871" s="52"/>
      <c r="P871" s="52"/>
      <c r="Q871" s="52"/>
      <c r="R871" s="53"/>
      <c r="S871" s="52"/>
      <c r="T871" s="52"/>
      <c r="U871" s="29"/>
      <c r="V871" s="54"/>
      <c r="W871" s="54"/>
    </row>
    <row r="872" ht="15.75" customHeight="1">
      <c r="A872" s="29"/>
      <c r="B872" s="16"/>
      <c r="C872" s="29"/>
      <c r="D872" s="29"/>
      <c r="E872" s="29"/>
      <c r="F872" s="29"/>
      <c r="G872" s="29"/>
      <c r="H872" s="41"/>
      <c r="I872" s="41"/>
      <c r="J872" s="51"/>
      <c r="K872" s="29"/>
      <c r="L872" s="29"/>
      <c r="M872" s="29"/>
      <c r="N872" s="29"/>
      <c r="O872" s="52"/>
      <c r="P872" s="52"/>
      <c r="Q872" s="52"/>
      <c r="R872" s="53"/>
      <c r="S872" s="52"/>
      <c r="T872" s="52"/>
      <c r="U872" s="29"/>
      <c r="V872" s="54"/>
      <c r="W872" s="54"/>
    </row>
    <row r="873" ht="15.75" customHeight="1">
      <c r="A873" s="29"/>
      <c r="B873" s="16"/>
      <c r="C873" s="29"/>
      <c r="D873" s="29"/>
      <c r="E873" s="29"/>
      <c r="F873" s="29"/>
      <c r="G873" s="29"/>
      <c r="H873" s="41"/>
      <c r="I873" s="41"/>
      <c r="J873" s="51"/>
      <c r="K873" s="29"/>
      <c r="L873" s="29"/>
      <c r="M873" s="29"/>
      <c r="N873" s="29"/>
      <c r="O873" s="52"/>
      <c r="P873" s="52"/>
      <c r="Q873" s="52"/>
      <c r="R873" s="53"/>
      <c r="S873" s="52"/>
      <c r="T873" s="52"/>
      <c r="U873" s="29"/>
      <c r="V873" s="54"/>
      <c r="W873" s="54"/>
    </row>
    <row r="874" ht="15.75" customHeight="1">
      <c r="A874" s="29"/>
      <c r="B874" s="16"/>
      <c r="C874" s="29"/>
      <c r="D874" s="29"/>
      <c r="E874" s="29"/>
      <c r="F874" s="29"/>
      <c r="G874" s="29"/>
      <c r="H874" s="41"/>
      <c r="I874" s="41"/>
      <c r="J874" s="51"/>
      <c r="K874" s="29"/>
      <c r="L874" s="29"/>
      <c r="M874" s="29"/>
      <c r="N874" s="29"/>
      <c r="O874" s="52"/>
      <c r="P874" s="52"/>
      <c r="Q874" s="52"/>
      <c r="R874" s="53"/>
      <c r="S874" s="52"/>
      <c r="T874" s="52"/>
      <c r="U874" s="29"/>
      <c r="V874" s="54"/>
      <c r="W874" s="54"/>
    </row>
    <row r="875" ht="15.75" customHeight="1">
      <c r="A875" s="29"/>
      <c r="B875" s="16"/>
      <c r="C875" s="29"/>
      <c r="D875" s="29"/>
      <c r="E875" s="29"/>
      <c r="F875" s="29"/>
      <c r="G875" s="29"/>
      <c r="H875" s="41"/>
      <c r="I875" s="41"/>
      <c r="J875" s="51"/>
      <c r="K875" s="29"/>
      <c r="L875" s="29"/>
      <c r="M875" s="29"/>
      <c r="N875" s="29"/>
      <c r="O875" s="52"/>
      <c r="P875" s="52"/>
      <c r="Q875" s="52"/>
      <c r="R875" s="53"/>
      <c r="S875" s="52"/>
      <c r="T875" s="52"/>
      <c r="U875" s="29"/>
      <c r="V875" s="54"/>
      <c r="W875" s="54"/>
    </row>
    <row r="876" ht="15.75" customHeight="1">
      <c r="A876" s="29"/>
      <c r="B876" s="16"/>
      <c r="C876" s="29"/>
      <c r="D876" s="29"/>
      <c r="E876" s="29"/>
      <c r="F876" s="29"/>
      <c r="G876" s="29"/>
      <c r="H876" s="41"/>
      <c r="I876" s="41"/>
      <c r="J876" s="51"/>
      <c r="K876" s="29"/>
      <c r="L876" s="29"/>
      <c r="M876" s="29"/>
      <c r="N876" s="29"/>
      <c r="O876" s="52"/>
      <c r="P876" s="52"/>
      <c r="Q876" s="52"/>
      <c r="R876" s="53"/>
      <c r="S876" s="52"/>
      <c r="T876" s="52"/>
      <c r="U876" s="29"/>
      <c r="V876" s="54"/>
      <c r="W876" s="54"/>
    </row>
    <row r="877" ht="15.75" customHeight="1">
      <c r="A877" s="29"/>
      <c r="B877" s="16"/>
      <c r="C877" s="29"/>
      <c r="D877" s="29"/>
      <c r="E877" s="29"/>
      <c r="F877" s="29"/>
      <c r="G877" s="29"/>
      <c r="H877" s="41"/>
      <c r="I877" s="41"/>
      <c r="J877" s="51"/>
      <c r="K877" s="29"/>
      <c r="L877" s="29"/>
      <c r="M877" s="29"/>
      <c r="N877" s="29"/>
      <c r="O877" s="52"/>
      <c r="P877" s="52"/>
      <c r="Q877" s="52"/>
      <c r="R877" s="53"/>
      <c r="S877" s="52"/>
      <c r="T877" s="52"/>
      <c r="U877" s="29"/>
      <c r="V877" s="54"/>
      <c r="W877" s="54"/>
    </row>
    <row r="878" ht="15.75" customHeight="1">
      <c r="A878" s="29"/>
      <c r="B878" s="16"/>
      <c r="C878" s="29"/>
      <c r="D878" s="29"/>
      <c r="E878" s="29"/>
      <c r="F878" s="29"/>
      <c r="G878" s="29"/>
      <c r="H878" s="41"/>
      <c r="I878" s="41"/>
      <c r="J878" s="51"/>
      <c r="K878" s="29"/>
      <c r="L878" s="29"/>
      <c r="M878" s="29"/>
      <c r="N878" s="29"/>
      <c r="O878" s="52"/>
      <c r="P878" s="52"/>
      <c r="Q878" s="52"/>
      <c r="R878" s="53"/>
      <c r="S878" s="52"/>
      <c r="T878" s="52"/>
      <c r="U878" s="29"/>
      <c r="V878" s="54"/>
      <c r="W878" s="54"/>
    </row>
    <row r="879" ht="15.75" customHeight="1">
      <c r="A879" s="29"/>
      <c r="B879" s="16"/>
      <c r="C879" s="29"/>
      <c r="D879" s="29"/>
      <c r="E879" s="29"/>
      <c r="F879" s="29"/>
      <c r="G879" s="29"/>
      <c r="H879" s="41"/>
      <c r="I879" s="41"/>
      <c r="J879" s="51"/>
      <c r="K879" s="29"/>
      <c r="L879" s="29"/>
      <c r="M879" s="29"/>
      <c r="N879" s="29"/>
      <c r="O879" s="52"/>
      <c r="P879" s="52"/>
      <c r="Q879" s="52"/>
      <c r="R879" s="53"/>
      <c r="S879" s="52"/>
      <c r="T879" s="52"/>
      <c r="U879" s="29"/>
      <c r="V879" s="54"/>
      <c r="W879" s="54"/>
    </row>
    <row r="880" ht="15.75" customHeight="1">
      <c r="A880" s="29"/>
      <c r="B880" s="16"/>
      <c r="C880" s="29"/>
      <c r="D880" s="29"/>
      <c r="E880" s="29"/>
      <c r="F880" s="29"/>
      <c r="G880" s="29"/>
      <c r="H880" s="41"/>
      <c r="I880" s="41"/>
      <c r="J880" s="51"/>
      <c r="K880" s="29"/>
      <c r="L880" s="29"/>
      <c r="M880" s="29"/>
      <c r="N880" s="29"/>
      <c r="O880" s="52"/>
      <c r="P880" s="52"/>
      <c r="Q880" s="52"/>
      <c r="R880" s="53"/>
      <c r="S880" s="52"/>
      <c r="T880" s="52"/>
      <c r="U880" s="29"/>
      <c r="V880" s="54"/>
      <c r="W880" s="54"/>
    </row>
    <row r="881" ht="15.75" customHeight="1">
      <c r="A881" s="29"/>
      <c r="B881" s="16"/>
      <c r="C881" s="29"/>
      <c r="D881" s="29"/>
      <c r="E881" s="29"/>
      <c r="F881" s="29"/>
      <c r="G881" s="29"/>
      <c r="H881" s="41"/>
      <c r="I881" s="41"/>
      <c r="J881" s="51"/>
      <c r="K881" s="29"/>
      <c r="L881" s="29"/>
      <c r="M881" s="29"/>
      <c r="N881" s="29"/>
      <c r="O881" s="52"/>
      <c r="P881" s="52"/>
      <c r="Q881" s="52"/>
      <c r="R881" s="53"/>
      <c r="S881" s="52"/>
      <c r="T881" s="52"/>
      <c r="U881" s="29"/>
      <c r="V881" s="54"/>
      <c r="W881" s="54"/>
    </row>
    <row r="882" ht="15.75" customHeight="1">
      <c r="A882" s="29"/>
      <c r="B882" s="16"/>
      <c r="C882" s="29"/>
      <c r="D882" s="29"/>
      <c r="E882" s="29"/>
      <c r="F882" s="29"/>
      <c r="G882" s="29"/>
      <c r="H882" s="41"/>
      <c r="I882" s="41"/>
      <c r="J882" s="51"/>
      <c r="K882" s="29"/>
      <c r="L882" s="29"/>
      <c r="M882" s="29"/>
      <c r="N882" s="29"/>
      <c r="O882" s="52"/>
      <c r="P882" s="52"/>
      <c r="Q882" s="52"/>
      <c r="R882" s="53"/>
      <c r="S882" s="52"/>
      <c r="T882" s="52"/>
      <c r="U882" s="29"/>
      <c r="V882" s="54"/>
      <c r="W882" s="54"/>
    </row>
    <row r="883" ht="15.75" customHeight="1">
      <c r="A883" s="29"/>
      <c r="B883" s="16"/>
      <c r="C883" s="29"/>
      <c r="D883" s="29"/>
      <c r="E883" s="29"/>
      <c r="F883" s="29"/>
      <c r="G883" s="29"/>
      <c r="H883" s="41"/>
      <c r="I883" s="41"/>
      <c r="J883" s="51"/>
      <c r="K883" s="29"/>
      <c r="L883" s="29"/>
      <c r="M883" s="29"/>
      <c r="N883" s="29"/>
      <c r="O883" s="52"/>
      <c r="P883" s="52"/>
      <c r="Q883" s="52"/>
      <c r="R883" s="53"/>
      <c r="S883" s="52"/>
      <c r="T883" s="52"/>
      <c r="U883" s="29"/>
      <c r="V883" s="54"/>
      <c r="W883" s="54"/>
    </row>
    <row r="884" ht="15.75" customHeight="1">
      <c r="A884" s="29"/>
      <c r="B884" s="16"/>
      <c r="C884" s="29"/>
      <c r="D884" s="29"/>
      <c r="E884" s="29"/>
      <c r="F884" s="29"/>
      <c r="G884" s="29"/>
      <c r="H884" s="41"/>
      <c r="I884" s="41"/>
      <c r="J884" s="51"/>
      <c r="K884" s="29"/>
      <c r="L884" s="29"/>
      <c r="M884" s="29"/>
      <c r="N884" s="29"/>
      <c r="O884" s="52"/>
      <c r="P884" s="52"/>
      <c r="Q884" s="52"/>
      <c r="R884" s="53"/>
      <c r="S884" s="52"/>
      <c r="T884" s="52"/>
      <c r="U884" s="29"/>
      <c r="V884" s="54"/>
      <c r="W884" s="54"/>
    </row>
    <row r="885" ht="15.75" customHeight="1">
      <c r="A885" s="29"/>
      <c r="B885" s="16"/>
      <c r="C885" s="29"/>
      <c r="D885" s="29"/>
      <c r="E885" s="29"/>
      <c r="F885" s="29"/>
      <c r="G885" s="29"/>
      <c r="H885" s="41"/>
      <c r="I885" s="41"/>
      <c r="J885" s="51"/>
      <c r="K885" s="29"/>
      <c r="L885" s="29"/>
      <c r="M885" s="29"/>
      <c r="N885" s="29"/>
      <c r="O885" s="52"/>
      <c r="P885" s="52"/>
      <c r="Q885" s="52"/>
      <c r="R885" s="53"/>
      <c r="S885" s="52"/>
      <c r="T885" s="52"/>
      <c r="U885" s="29"/>
      <c r="V885" s="54"/>
      <c r="W885" s="54"/>
    </row>
    <row r="886" ht="15.75" customHeight="1">
      <c r="A886" s="29"/>
      <c r="B886" s="16"/>
      <c r="C886" s="29"/>
      <c r="D886" s="29"/>
      <c r="E886" s="29"/>
      <c r="F886" s="29"/>
      <c r="G886" s="29"/>
      <c r="H886" s="41"/>
      <c r="I886" s="41"/>
      <c r="J886" s="51"/>
      <c r="K886" s="29"/>
      <c r="L886" s="29"/>
      <c r="M886" s="29"/>
      <c r="N886" s="29"/>
      <c r="O886" s="52"/>
      <c r="P886" s="52"/>
      <c r="Q886" s="52"/>
      <c r="R886" s="53"/>
      <c r="S886" s="52"/>
      <c r="T886" s="52"/>
      <c r="U886" s="29"/>
      <c r="V886" s="54"/>
      <c r="W886" s="54"/>
    </row>
    <row r="887" ht="15.75" customHeight="1">
      <c r="A887" s="29"/>
      <c r="B887" s="16"/>
      <c r="C887" s="29"/>
      <c r="D887" s="29"/>
      <c r="E887" s="29"/>
      <c r="F887" s="29"/>
      <c r="G887" s="29"/>
      <c r="H887" s="41"/>
      <c r="I887" s="41"/>
      <c r="J887" s="51"/>
      <c r="K887" s="29"/>
      <c r="L887" s="29"/>
      <c r="M887" s="29"/>
      <c r="N887" s="29"/>
      <c r="O887" s="52"/>
      <c r="P887" s="52"/>
      <c r="Q887" s="52"/>
      <c r="R887" s="53"/>
      <c r="S887" s="52"/>
      <c r="T887" s="52"/>
      <c r="U887" s="29"/>
      <c r="V887" s="54"/>
      <c r="W887" s="54"/>
    </row>
    <row r="888" ht="15.75" customHeight="1">
      <c r="A888" s="29"/>
      <c r="B888" s="16"/>
      <c r="C888" s="29"/>
      <c r="D888" s="29"/>
      <c r="E888" s="29"/>
      <c r="F888" s="29"/>
      <c r="G888" s="29"/>
      <c r="H888" s="41"/>
      <c r="I888" s="41"/>
      <c r="J888" s="51"/>
      <c r="K888" s="29"/>
      <c r="L888" s="29"/>
      <c r="M888" s="29"/>
      <c r="N888" s="29"/>
      <c r="O888" s="52"/>
      <c r="P888" s="52"/>
      <c r="Q888" s="52"/>
      <c r="R888" s="53"/>
      <c r="S888" s="52"/>
      <c r="T888" s="52"/>
      <c r="U888" s="29"/>
      <c r="V888" s="54"/>
      <c r="W888" s="54"/>
    </row>
    <row r="889" ht="15.75" customHeight="1">
      <c r="A889" s="29"/>
      <c r="B889" s="16"/>
      <c r="C889" s="29"/>
      <c r="D889" s="29"/>
      <c r="E889" s="29"/>
      <c r="F889" s="29"/>
      <c r="G889" s="29"/>
      <c r="H889" s="41"/>
      <c r="I889" s="41"/>
      <c r="J889" s="51"/>
      <c r="K889" s="29"/>
      <c r="L889" s="29"/>
      <c r="M889" s="29"/>
      <c r="N889" s="29"/>
      <c r="O889" s="52"/>
      <c r="P889" s="52"/>
      <c r="Q889" s="52"/>
      <c r="R889" s="53"/>
      <c r="S889" s="52"/>
      <c r="T889" s="52"/>
      <c r="U889" s="29"/>
      <c r="V889" s="54"/>
      <c r="W889" s="54"/>
    </row>
    <row r="890" ht="15.75" customHeight="1">
      <c r="A890" s="29"/>
      <c r="B890" s="16"/>
      <c r="C890" s="29"/>
      <c r="D890" s="29"/>
      <c r="E890" s="29"/>
      <c r="F890" s="29"/>
      <c r="G890" s="29"/>
      <c r="H890" s="41"/>
      <c r="I890" s="41"/>
      <c r="J890" s="51"/>
      <c r="K890" s="29"/>
      <c r="L890" s="29"/>
      <c r="M890" s="29"/>
      <c r="N890" s="29"/>
      <c r="O890" s="52"/>
      <c r="P890" s="52"/>
      <c r="Q890" s="52"/>
      <c r="R890" s="53"/>
      <c r="S890" s="52"/>
      <c r="T890" s="52"/>
      <c r="U890" s="29"/>
      <c r="V890" s="54"/>
      <c r="W890" s="54"/>
    </row>
    <row r="891" ht="15.75" customHeight="1">
      <c r="A891" s="29"/>
      <c r="B891" s="16"/>
      <c r="C891" s="29"/>
      <c r="D891" s="29"/>
      <c r="E891" s="29"/>
      <c r="F891" s="29"/>
      <c r="G891" s="29"/>
      <c r="H891" s="41"/>
      <c r="I891" s="41"/>
      <c r="J891" s="51"/>
      <c r="K891" s="29"/>
      <c r="L891" s="29"/>
      <c r="M891" s="29"/>
      <c r="N891" s="29"/>
      <c r="O891" s="52"/>
      <c r="P891" s="52"/>
      <c r="Q891" s="52"/>
      <c r="R891" s="53"/>
      <c r="S891" s="52"/>
      <c r="T891" s="52"/>
      <c r="U891" s="29"/>
      <c r="V891" s="54"/>
      <c r="W891" s="54"/>
    </row>
    <row r="892" ht="15.75" customHeight="1">
      <c r="A892" s="29"/>
      <c r="B892" s="16"/>
      <c r="C892" s="29"/>
      <c r="D892" s="29"/>
      <c r="E892" s="29"/>
      <c r="F892" s="29"/>
      <c r="G892" s="29"/>
      <c r="H892" s="41"/>
      <c r="I892" s="41"/>
      <c r="J892" s="51"/>
      <c r="K892" s="29"/>
      <c r="L892" s="29"/>
      <c r="M892" s="29"/>
      <c r="N892" s="29"/>
      <c r="O892" s="52"/>
      <c r="P892" s="52"/>
      <c r="Q892" s="52"/>
      <c r="R892" s="53"/>
      <c r="S892" s="52"/>
      <c r="T892" s="52"/>
      <c r="U892" s="29"/>
      <c r="V892" s="54"/>
      <c r="W892" s="54"/>
    </row>
    <row r="893" ht="15.75" customHeight="1">
      <c r="A893" s="29"/>
      <c r="B893" s="16"/>
      <c r="C893" s="29"/>
      <c r="D893" s="29"/>
      <c r="E893" s="29"/>
      <c r="F893" s="29"/>
      <c r="G893" s="29"/>
      <c r="H893" s="41"/>
      <c r="I893" s="41"/>
      <c r="J893" s="51"/>
      <c r="K893" s="29"/>
      <c r="L893" s="29"/>
      <c r="M893" s="29"/>
      <c r="N893" s="29"/>
      <c r="O893" s="52"/>
      <c r="P893" s="52"/>
      <c r="Q893" s="52"/>
      <c r="R893" s="53"/>
      <c r="S893" s="52"/>
      <c r="T893" s="52"/>
      <c r="U893" s="29"/>
      <c r="V893" s="54"/>
      <c r="W893" s="54"/>
    </row>
    <row r="894" ht="15.75" customHeight="1">
      <c r="A894" s="29"/>
      <c r="B894" s="16"/>
      <c r="C894" s="29"/>
      <c r="D894" s="29"/>
      <c r="E894" s="29"/>
      <c r="F894" s="29"/>
      <c r="G894" s="29"/>
      <c r="H894" s="41"/>
      <c r="I894" s="41"/>
      <c r="J894" s="51"/>
      <c r="K894" s="29"/>
      <c r="L894" s="29"/>
      <c r="M894" s="29"/>
      <c r="N894" s="29"/>
      <c r="O894" s="52"/>
      <c r="P894" s="52"/>
      <c r="Q894" s="52"/>
      <c r="R894" s="53"/>
      <c r="S894" s="52"/>
      <c r="T894" s="52"/>
      <c r="U894" s="29"/>
      <c r="V894" s="54"/>
      <c r="W894" s="54"/>
    </row>
    <row r="895" ht="15.75" customHeight="1">
      <c r="A895" s="29"/>
      <c r="B895" s="16"/>
      <c r="C895" s="29"/>
      <c r="D895" s="29"/>
      <c r="E895" s="29"/>
      <c r="F895" s="29"/>
      <c r="G895" s="29"/>
      <c r="H895" s="41"/>
      <c r="I895" s="41"/>
      <c r="J895" s="51"/>
      <c r="K895" s="29"/>
      <c r="L895" s="29"/>
      <c r="M895" s="29"/>
      <c r="N895" s="29"/>
      <c r="O895" s="52"/>
      <c r="P895" s="52"/>
      <c r="Q895" s="52"/>
      <c r="R895" s="53"/>
      <c r="S895" s="52"/>
      <c r="T895" s="52"/>
      <c r="U895" s="29"/>
      <c r="V895" s="54"/>
      <c r="W895" s="54"/>
    </row>
    <row r="896" ht="15.75" customHeight="1">
      <c r="A896" s="29"/>
      <c r="B896" s="16"/>
      <c r="C896" s="29"/>
      <c r="D896" s="29"/>
      <c r="E896" s="29"/>
      <c r="F896" s="29"/>
      <c r="G896" s="29"/>
      <c r="H896" s="41"/>
      <c r="I896" s="41"/>
      <c r="J896" s="51"/>
      <c r="K896" s="29"/>
      <c r="L896" s="29"/>
      <c r="M896" s="29"/>
      <c r="N896" s="29"/>
      <c r="O896" s="52"/>
      <c r="P896" s="52"/>
      <c r="Q896" s="52"/>
      <c r="R896" s="53"/>
      <c r="S896" s="52"/>
      <c r="T896" s="52"/>
      <c r="U896" s="29"/>
      <c r="V896" s="54"/>
      <c r="W896" s="54"/>
    </row>
    <row r="897" ht="15.75" customHeight="1">
      <c r="A897" s="29"/>
      <c r="B897" s="16"/>
      <c r="C897" s="29"/>
      <c r="D897" s="29"/>
      <c r="E897" s="29"/>
      <c r="F897" s="29"/>
      <c r="G897" s="29"/>
      <c r="H897" s="41"/>
      <c r="I897" s="41"/>
      <c r="J897" s="51"/>
      <c r="K897" s="29"/>
      <c r="L897" s="29"/>
      <c r="M897" s="29"/>
      <c r="N897" s="29"/>
      <c r="O897" s="52"/>
      <c r="P897" s="52"/>
      <c r="Q897" s="52"/>
      <c r="R897" s="53"/>
      <c r="S897" s="52"/>
      <c r="T897" s="52"/>
      <c r="U897" s="29"/>
      <c r="V897" s="54"/>
      <c r="W897" s="54"/>
    </row>
    <row r="898" ht="15.75" customHeight="1">
      <c r="A898" s="29"/>
      <c r="B898" s="16"/>
      <c r="C898" s="29"/>
      <c r="D898" s="29"/>
      <c r="E898" s="29"/>
      <c r="F898" s="29"/>
      <c r="G898" s="29"/>
      <c r="H898" s="41"/>
      <c r="I898" s="41"/>
      <c r="J898" s="51"/>
      <c r="K898" s="29"/>
      <c r="L898" s="29"/>
      <c r="M898" s="29"/>
      <c r="N898" s="29"/>
      <c r="O898" s="52"/>
      <c r="P898" s="52"/>
      <c r="Q898" s="52"/>
      <c r="R898" s="53"/>
      <c r="S898" s="52"/>
      <c r="T898" s="52"/>
      <c r="U898" s="29"/>
      <c r="V898" s="54"/>
      <c r="W898" s="54"/>
    </row>
    <row r="899" ht="15.75" customHeight="1">
      <c r="A899" s="29"/>
      <c r="B899" s="16"/>
      <c r="C899" s="29"/>
      <c r="D899" s="29"/>
      <c r="E899" s="29"/>
      <c r="F899" s="29"/>
      <c r="G899" s="29"/>
      <c r="H899" s="41"/>
      <c r="I899" s="41"/>
      <c r="J899" s="51"/>
      <c r="K899" s="29"/>
      <c r="L899" s="29"/>
      <c r="M899" s="29"/>
      <c r="N899" s="29"/>
      <c r="O899" s="52"/>
      <c r="P899" s="52"/>
      <c r="Q899" s="52"/>
      <c r="R899" s="53"/>
      <c r="S899" s="52"/>
      <c r="T899" s="52"/>
      <c r="U899" s="29"/>
      <c r="V899" s="54"/>
      <c r="W899" s="54"/>
    </row>
    <row r="900" ht="15.75" customHeight="1">
      <c r="A900" s="29"/>
      <c r="B900" s="16"/>
      <c r="C900" s="29"/>
      <c r="D900" s="29"/>
      <c r="E900" s="29"/>
      <c r="F900" s="29"/>
      <c r="G900" s="29"/>
      <c r="H900" s="41"/>
      <c r="I900" s="41"/>
      <c r="J900" s="51"/>
      <c r="K900" s="29"/>
      <c r="L900" s="29"/>
      <c r="M900" s="29"/>
      <c r="N900" s="29"/>
      <c r="O900" s="52"/>
      <c r="P900" s="52"/>
      <c r="Q900" s="52"/>
      <c r="R900" s="53"/>
      <c r="S900" s="52"/>
      <c r="T900" s="52"/>
      <c r="U900" s="29"/>
      <c r="V900" s="54"/>
      <c r="W900" s="54"/>
    </row>
    <row r="901" ht="15.75" customHeight="1">
      <c r="A901" s="29"/>
      <c r="B901" s="16"/>
      <c r="C901" s="29"/>
      <c r="D901" s="29"/>
      <c r="E901" s="29"/>
      <c r="F901" s="29"/>
      <c r="G901" s="29"/>
      <c r="H901" s="41"/>
      <c r="I901" s="41"/>
      <c r="J901" s="51"/>
      <c r="K901" s="29"/>
      <c r="L901" s="29"/>
      <c r="M901" s="29"/>
      <c r="N901" s="29"/>
      <c r="O901" s="52"/>
      <c r="P901" s="52"/>
      <c r="Q901" s="52"/>
      <c r="R901" s="53"/>
      <c r="S901" s="52"/>
      <c r="T901" s="52"/>
      <c r="U901" s="29"/>
      <c r="V901" s="54"/>
      <c r="W901" s="54"/>
    </row>
    <row r="902" ht="15.75" customHeight="1">
      <c r="A902" s="29"/>
      <c r="B902" s="16"/>
      <c r="C902" s="29"/>
      <c r="D902" s="29"/>
      <c r="E902" s="29"/>
      <c r="F902" s="29"/>
      <c r="G902" s="29"/>
      <c r="H902" s="41"/>
      <c r="I902" s="41"/>
      <c r="J902" s="51"/>
      <c r="K902" s="29"/>
      <c r="L902" s="29"/>
      <c r="M902" s="29"/>
      <c r="N902" s="29"/>
      <c r="O902" s="52"/>
      <c r="P902" s="52"/>
      <c r="Q902" s="52"/>
      <c r="R902" s="53"/>
      <c r="S902" s="52"/>
      <c r="T902" s="52"/>
      <c r="U902" s="29"/>
      <c r="V902" s="54"/>
      <c r="W902" s="54"/>
    </row>
    <row r="903" ht="15.75" customHeight="1">
      <c r="A903" s="29"/>
      <c r="B903" s="16"/>
      <c r="C903" s="29"/>
      <c r="D903" s="29"/>
      <c r="E903" s="29"/>
      <c r="F903" s="29"/>
      <c r="G903" s="29"/>
      <c r="H903" s="41"/>
      <c r="I903" s="41"/>
      <c r="J903" s="51"/>
      <c r="K903" s="29"/>
      <c r="L903" s="29"/>
      <c r="M903" s="29"/>
      <c r="N903" s="29"/>
      <c r="O903" s="52"/>
      <c r="P903" s="52"/>
      <c r="Q903" s="52"/>
      <c r="R903" s="53"/>
      <c r="S903" s="52"/>
      <c r="T903" s="52"/>
      <c r="U903" s="29"/>
      <c r="V903" s="54"/>
      <c r="W903" s="54"/>
    </row>
    <row r="904" ht="15.75" customHeight="1">
      <c r="A904" s="29"/>
      <c r="B904" s="16"/>
      <c r="C904" s="29"/>
      <c r="D904" s="29"/>
      <c r="E904" s="29"/>
      <c r="F904" s="29"/>
      <c r="G904" s="29"/>
      <c r="H904" s="41"/>
      <c r="I904" s="41"/>
      <c r="J904" s="51"/>
      <c r="K904" s="29"/>
      <c r="L904" s="29"/>
      <c r="M904" s="29"/>
      <c r="N904" s="29"/>
      <c r="O904" s="52"/>
      <c r="P904" s="52"/>
      <c r="Q904" s="52"/>
      <c r="R904" s="53"/>
      <c r="S904" s="52"/>
      <c r="T904" s="52"/>
      <c r="U904" s="29"/>
      <c r="V904" s="54"/>
      <c r="W904" s="54"/>
    </row>
    <row r="905" ht="15.75" customHeight="1">
      <c r="A905" s="29"/>
      <c r="B905" s="16"/>
      <c r="C905" s="29"/>
      <c r="D905" s="29"/>
      <c r="E905" s="29"/>
      <c r="F905" s="29"/>
      <c r="G905" s="29"/>
      <c r="H905" s="41"/>
      <c r="I905" s="41"/>
      <c r="J905" s="51"/>
      <c r="K905" s="29"/>
      <c r="L905" s="29"/>
      <c r="M905" s="29"/>
      <c r="N905" s="29"/>
      <c r="O905" s="52"/>
      <c r="P905" s="52"/>
      <c r="Q905" s="52"/>
      <c r="R905" s="53"/>
      <c r="S905" s="52"/>
      <c r="T905" s="52"/>
      <c r="U905" s="29"/>
      <c r="V905" s="54"/>
      <c r="W905" s="54"/>
    </row>
    <row r="906" ht="15.75" customHeight="1">
      <c r="A906" s="29"/>
      <c r="B906" s="16"/>
      <c r="C906" s="29"/>
      <c r="D906" s="29"/>
      <c r="E906" s="29"/>
      <c r="F906" s="29"/>
      <c r="G906" s="29"/>
      <c r="H906" s="41"/>
      <c r="I906" s="41"/>
      <c r="J906" s="51"/>
      <c r="K906" s="29"/>
      <c r="L906" s="29"/>
      <c r="M906" s="29"/>
      <c r="N906" s="29"/>
      <c r="O906" s="52"/>
      <c r="P906" s="52"/>
      <c r="Q906" s="52"/>
      <c r="R906" s="53"/>
      <c r="S906" s="52"/>
      <c r="T906" s="52"/>
      <c r="U906" s="29"/>
      <c r="V906" s="54"/>
      <c r="W906" s="54"/>
    </row>
    <row r="907" ht="15.75" customHeight="1">
      <c r="A907" s="29"/>
      <c r="B907" s="16"/>
      <c r="C907" s="29"/>
      <c r="D907" s="29"/>
      <c r="E907" s="29"/>
      <c r="F907" s="29"/>
      <c r="G907" s="29"/>
      <c r="H907" s="41"/>
      <c r="I907" s="41"/>
      <c r="J907" s="51"/>
      <c r="K907" s="29"/>
      <c r="L907" s="29"/>
      <c r="M907" s="29"/>
      <c r="N907" s="29"/>
      <c r="O907" s="52"/>
      <c r="P907" s="52"/>
      <c r="Q907" s="52"/>
      <c r="R907" s="53"/>
      <c r="S907" s="52"/>
      <c r="T907" s="52"/>
      <c r="U907" s="29"/>
      <c r="V907" s="54"/>
      <c r="W907" s="54"/>
    </row>
    <row r="908" ht="15.75" customHeight="1">
      <c r="A908" s="29"/>
      <c r="B908" s="16"/>
      <c r="C908" s="29"/>
      <c r="D908" s="29"/>
      <c r="E908" s="29"/>
      <c r="F908" s="29"/>
      <c r="G908" s="29"/>
      <c r="H908" s="41"/>
      <c r="I908" s="41"/>
      <c r="J908" s="51"/>
      <c r="K908" s="29"/>
      <c r="L908" s="29"/>
      <c r="M908" s="29"/>
      <c r="N908" s="29"/>
      <c r="O908" s="52"/>
      <c r="P908" s="52"/>
      <c r="Q908" s="52"/>
      <c r="R908" s="53"/>
      <c r="S908" s="52"/>
      <c r="T908" s="52"/>
      <c r="U908" s="29"/>
      <c r="V908" s="54"/>
      <c r="W908" s="54"/>
    </row>
    <row r="909" ht="15.75" customHeight="1">
      <c r="A909" s="29"/>
      <c r="B909" s="16"/>
      <c r="C909" s="29"/>
      <c r="D909" s="29"/>
      <c r="E909" s="29"/>
      <c r="F909" s="29"/>
      <c r="G909" s="29"/>
      <c r="H909" s="41"/>
      <c r="I909" s="41"/>
      <c r="J909" s="51"/>
      <c r="K909" s="29"/>
      <c r="L909" s="29"/>
      <c r="M909" s="29"/>
      <c r="N909" s="29"/>
      <c r="O909" s="52"/>
      <c r="P909" s="52"/>
      <c r="Q909" s="52"/>
      <c r="R909" s="53"/>
      <c r="S909" s="52"/>
      <c r="T909" s="52"/>
      <c r="U909" s="29"/>
      <c r="V909" s="54"/>
      <c r="W909" s="54"/>
    </row>
    <row r="910" ht="15.75" customHeight="1">
      <c r="A910" s="29"/>
      <c r="B910" s="16"/>
      <c r="C910" s="29"/>
      <c r="D910" s="29"/>
      <c r="E910" s="29"/>
      <c r="F910" s="29"/>
      <c r="G910" s="29"/>
      <c r="H910" s="41"/>
      <c r="I910" s="41"/>
      <c r="J910" s="51"/>
      <c r="K910" s="29"/>
      <c r="L910" s="29"/>
      <c r="M910" s="29"/>
      <c r="N910" s="29"/>
      <c r="O910" s="52"/>
      <c r="P910" s="52"/>
      <c r="Q910" s="52"/>
      <c r="R910" s="53"/>
      <c r="S910" s="52"/>
      <c r="T910" s="52"/>
      <c r="U910" s="29"/>
      <c r="V910" s="54"/>
      <c r="W910" s="54"/>
    </row>
    <row r="911" ht="15.75" customHeight="1">
      <c r="A911" s="29"/>
      <c r="B911" s="16"/>
      <c r="C911" s="29"/>
      <c r="D911" s="29"/>
      <c r="E911" s="29"/>
      <c r="F911" s="29"/>
      <c r="G911" s="29"/>
      <c r="H911" s="41"/>
      <c r="I911" s="41"/>
      <c r="J911" s="51"/>
      <c r="K911" s="29"/>
      <c r="L911" s="29"/>
      <c r="M911" s="29"/>
      <c r="N911" s="29"/>
      <c r="O911" s="52"/>
      <c r="P911" s="52"/>
      <c r="Q911" s="52"/>
      <c r="R911" s="53"/>
      <c r="S911" s="52"/>
      <c r="T911" s="52"/>
      <c r="U911" s="29"/>
      <c r="V911" s="54"/>
      <c r="W911" s="54"/>
    </row>
    <row r="912" ht="15.75" customHeight="1">
      <c r="A912" s="29"/>
      <c r="B912" s="16"/>
      <c r="C912" s="29"/>
      <c r="D912" s="29"/>
      <c r="E912" s="29"/>
      <c r="F912" s="29"/>
      <c r="G912" s="29"/>
      <c r="H912" s="41"/>
      <c r="I912" s="41"/>
      <c r="J912" s="51"/>
      <c r="K912" s="29"/>
      <c r="L912" s="29"/>
      <c r="M912" s="29"/>
      <c r="N912" s="29"/>
      <c r="O912" s="52"/>
      <c r="P912" s="52"/>
      <c r="Q912" s="52"/>
      <c r="R912" s="53"/>
      <c r="S912" s="52"/>
      <c r="T912" s="52"/>
      <c r="U912" s="29"/>
      <c r="V912" s="54"/>
      <c r="W912" s="54"/>
    </row>
    <row r="913" ht="15.75" customHeight="1">
      <c r="A913" s="29"/>
      <c r="B913" s="16"/>
      <c r="C913" s="29"/>
      <c r="D913" s="29"/>
      <c r="E913" s="29"/>
      <c r="F913" s="29"/>
      <c r="G913" s="29"/>
      <c r="H913" s="41"/>
      <c r="I913" s="41"/>
      <c r="J913" s="51"/>
      <c r="K913" s="29"/>
      <c r="L913" s="29"/>
      <c r="M913" s="29"/>
      <c r="N913" s="29"/>
      <c r="O913" s="52"/>
      <c r="P913" s="52"/>
      <c r="Q913" s="52"/>
      <c r="R913" s="53"/>
      <c r="S913" s="52"/>
      <c r="T913" s="52"/>
      <c r="U913" s="29"/>
      <c r="V913" s="54"/>
      <c r="W913" s="54"/>
    </row>
    <row r="914" ht="15.75" customHeight="1">
      <c r="A914" s="29"/>
      <c r="B914" s="16"/>
      <c r="C914" s="29"/>
      <c r="D914" s="29"/>
      <c r="E914" s="29"/>
      <c r="F914" s="29"/>
      <c r="G914" s="29"/>
      <c r="H914" s="41"/>
      <c r="I914" s="41"/>
      <c r="J914" s="51"/>
      <c r="K914" s="29"/>
      <c r="L914" s="29"/>
      <c r="M914" s="29"/>
      <c r="N914" s="29"/>
      <c r="O914" s="52"/>
      <c r="P914" s="52"/>
      <c r="Q914" s="52"/>
      <c r="R914" s="53"/>
      <c r="S914" s="52"/>
      <c r="T914" s="52"/>
      <c r="U914" s="29"/>
      <c r="V914" s="54"/>
      <c r="W914" s="54"/>
    </row>
    <row r="915" ht="15.75" customHeight="1">
      <c r="A915" s="29"/>
      <c r="B915" s="16"/>
      <c r="C915" s="29"/>
      <c r="D915" s="29"/>
      <c r="E915" s="29"/>
      <c r="F915" s="29"/>
      <c r="G915" s="29"/>
      <c r="H915" s="41"/>
      <c r="I915" s="41"/>
      <c r="J915" s="51"/>
      <c r="K915" s="29"/>
      <c r="L915" s="29"/>
      <c r="M915" s="29"/>
      <c r="N915" s="29"/>
      <c r="O915" s="52"/>
      <c r="P915" s="52"/>
      <c r="Q915" s="52"/>
      <c r="R915" s="53"/>
      <c r="S915" s="52"/>
      <c r="T915" s="52"/>
      <c r="U915" s="29"/>
      <c r="V915" s="54"/>
      <c r="W915" s="54"/>
    </row>
    <row r="916" ht="15.75" customHeight="1">
      <c r="A916" s="29"/>
      <c r="B916" s="16"/>
      <c r="C916" s="29"/>
      <c r="D916" s="29"/>
      <c r="E916" s="29"/>
      <c r="F916" s="29"/>
      <c r="G916" s="29"/>
      <c r="H916" s="41"/>
      <c r="I916" s="41"/>
      <c r="J916" s="51"/>
      <c r="K916" s="29"/>
      <c r="L916" s="29"/>
      <c r="M916" s="29"/>
      <c r="N916" s="29"/>
      <c r="O916" s="52"/>
      <c r="P916" s="52"/>
      <c r="Q916" s="52"/>
      <c r="R916" s="53"/>
      <c r="S916" s="52"/>
      <c r="T916" s="52"/>
      <c r="U916" s="29"/>
      <c r="V916" s="54"/>
      <c r="W916" s="54"/>
    </row>
    <row r="917" ht="15.75" customHeight="1">
      <c r="A917" s="29"/>
      <c r="B917" s="16"/>
      <c r="C917" s="29"/>
      <c r="D917" s="29"/>
      <c r="E917" s="29"/>
      <c r="F917" s="29"/>
      <c r="G917" s="29"/>
      <c r="H917" s="41"/>
      <c r="I917" s="41"/>
      <c r="J917" s="51"/>
      <c r="K917" s="29"/>
      <c r="L917" s="29"/>
      <c r="M917" s="29"/>
      <c r="N917" s="29"/>
      <c r="O917" s="52"/>
      <c r="P917" s="52"/>
      <c r="Q917" s="52"/>
      <c r="R917" s="53"/>
      <c r="S917" s="52"/>
      <c r="T917" s="52"/>
      <c r="U917" s="29"/>
      <c r="V917" s="54"/>
      <c r="W917" s="54"/>
    </row>
    <row r="918" ht="15.75" customHeight="1">
      <c r="A918" s="29"/>
      <c r="B918" s="16"/>
      <c r="C918" s="29"/>
      <c r="D918" s="29"/>
      <c r="E918" s="29"/>
      <c r="F918" s="29"/>
      <c r="G918" s="29"/>
      <c r="H918" s="41"/>
      <c r="I918" s="41"/>
      <c r="J918" s="51"/>
      <c r="K918" s="29"/>
      <c r="L918" s="29"/>
      <c r="M918" s="29"/>
      <c r="N918" s="29"/>
      <c r="O918" s="52"/>
      <c r="P918" s="52"/>
      <c r="Q918" s="52"/>
      <c r="R918" s="53"/>
      <c r="S918" s="52"/>
      <c r="T918" s="52"/>
      <c r="U918" s="29"/>
      <c r="V918" s="54"/>
      <c r="W918" s="54"/>
    </row>
    <row r="919" ht="15.75" customHeight="1">
      <c r="A919" s="29"/>
      <c r="B919" s="16"/>
      <c r="C919" s="29"/>
      <c r="D919" s="29"/>
      <c r="E919" s="29"/>
      <c r="F919" s="29"/>
      <c r="G919" s="29"/>
      <c r="H919" s="41"/>
      <c r="I919" s="41"/>
      <c r="J919" s="51"/>
      <c r="K919" s="29"/>
      <c r="L919" s="29"/>
      <c r="M919" s="29"/>
      <c r="N919" s="29"/>
      <c r="O919" s="52"/>
      <c r="P919" s="52"/>
      <c r="Q919" s="52"/>
      <c r="R919" s="53"/>
      <c r="S919" s="52"/>
      <c r="T919" s="52"/>
      <c r="U919" s="29"/>
      <c r="V919" s="54"/>
      <c r="W919" s="54"/>
    </row>
    <row r="920" ht="15.75" customHeight="1">
      <c r="A920" s="29"/>
      <c r="B920" s="16"/>
      <c r="C920" s="29"/>
      <c r="D920" s="29"/>
      <c r="E920" s="29"/>
      <c r="F920" s="29"/>
      <c r="G920" s="29"/>
      <c r="H920" s="41"/>
      <c r="I920" s="41"/>
      <c r="J920" s="51"/>
      <c r="K920" s="29"/>
      <c r="L920" s="29"/>
      <c r="M920" s="29"/>
      <c r="N920" s="29"/>
      <c r="O920" s="52"/>
      <c r="P920" s="52"/>
      <c r="Q920" s="52"/>
      <c r="R920" s="53"/>
      <c r="S920" s="52"/>
      <c r="T920" s="52"/>
      <c r="U920" s="29"/>
      <c r="V920" s="54"/>
      <c r="W920" s="54"/>
    </row>
    <row r="921" ht="15.75" customHeight="1">
      <c r="A921" s="29"/>
      <c r="B921" s="16"/>
      <c r="C921" s="29"/>
      <c r="D921" s="29"/>
      <c r="E921" s="29"/>
      <c r="F921" s="29"/>
      <c r="G921" s="29"/>
      <c r="H921" s="41"/>
      <c r="I921" s="41"/>
      <c r="J921" s="51"/>
      <c r="K921" s="29"/>
      <c r="L921" s="29"/>
      <c r="M921" s="29"/>
      <c r="N921" s="29"/>
      <c r="O921" s="52"/>
      <c r="P921" s="52"/>
      <c r="Q921" s="52"/>
      <c r="R921" s="53"/>
      <c r="S921" s="52"/>
      <c r="T921" s="52"/>
      <c r="U921" s="29"/>
      <c r="V921" s="54"/>
      <c r="W921" s="54"/>
    </row>
    <row r="922" ht="15.75" customHeight="1">
      <c r="A922" s="29"/>
      <c r="B922" s="16"/>
      <c r="C922" s="29"/>
      <c r="D922" s="29"/>
      <c r="E922" s="29"/>
      <c r="F922" s="29"/>
      <c r="G922" s="29"/>
      <c r="H922" s="41"/>
      <c r="I922" s="41"/>
      <c r="J922" s="51"/>
      <c r="K922" s="29"/>
      <c r="L922" s="29"/>
      <c r="M922" s="29"/>
      <c r="N922" s="29"/>
      <c r="O922" s="52"/>
      <c r="P922" s="52"/>
      <c r="Q922" s="52"/>
      <c r="R922" s="53"/>
      <c r="S922" s="52"/>
      <c r="T922" s="52"/>
      <c r="U922" s="29"/>
      <c r="V922" s="54"/>
      <c r="W922" s="54"/>
    </row>
    <row r="923" ht="15.75" customHeight="1">
      <c r="A923" s="29"/>
      <c r="B923" s="16"/>
      <c r="C923" s="29"/>
      <c r="D923" s="29"/>
      <c r="E923" s="29"/>
      <c r="F923" s="29"/>
      <c r="G923" s="29"/>
      <c r="H923" s="41"/>
      <c r="I923" s="41"/>
      <c r="J923" s="51"/>
      <c r="K923" s="29"/>
      <c r="L923" s="29"/>
      <c r="M923" s="29"/>
      <c r="N923" s="29"/>
      <c r="O923" s="52"/>
      <c r="P923" s="52"/>
      <c r="Q923" s="52"/>
      <c r="R923" s="53"/>
      <c r="S923" s="52"/>
      <c r="T923" s="52"/>
      <c r="U923" s="29"/>
      <c r="V923" s="54"/>
      <c r="W923" s="54"/>
    </row>
    <row r="924" ht="15.75" customHeight="1">
      <c r="A924" s="29"/>
      <c r="B924" s="16"/>
      <c r="C924" s="29"/>
      <c r="D924" s="29"/>
      <c r="E924" s="29"/>
      <c r="F924" s="29"/>
      <c r="G924" s="29"/>
      <c r="H924" s="41"/>
      <c r="I924" s="41"/>
      <c r="J924" s="51"/>
      <c r="K924" s="29"/>
      <c r="L924" s="29"/>
      <c r="M924" s="29"/>
      <c r="N924" s="29"/>
      <c r="O924" s="52"/>
      <c r="P924" s="52"/>
      <c r="Q924" s="52"/>
      <c r="R924" s="53"/>
      <c r="S924" s="52"/>
      <c r="T924" s="52"/>
      <c r="U924" s="29"/>
      <c r="V924" s="54"/>
      <c r="W924" s="54"/>
    </row>
    <row r="925" ht="15.75" customHeight="1">
      <c r="A925" s="29"/>
      <c r="B925" s="16"/>
      <c r="C925" s="29"/>
      <c r="D925" s="29"/>
      <c r="E925" s="29"/>
      <c r="F925" s="29"/>
      <c r="G925" s="29"/>
      <c r="H925" s="41"/>
      <c r="I925" s="41"/>
      <c r="J925" s="51"/>
      <c r="K925" s="29"/>
      <c r="L925" s="29"/>
      <c r="M925" s="29"/>
      <c r="N925" s="29"/>
      <c r="O925" s="52"/>
      <c r="P925" s="52"/>
      <c r="Q925" s="52"/>
      <c r="R925" s="53"/>
      <c r="S925" s="52"/>
      <c r="T925" s="52"/>
      <c r="U925" s="29"/>
      <c r="V925" s="54"/>
      <c r="W925" s="54"/>
    </row>
    <row r="926" ht="15.75" customHeight="1">
      <c r="A926" s="29"/>
      <c r="B926" s="16"/>
      <c r="C926" s="29"/>
      <c r="D926" s="29"/>
      <c r="E926" s="29"/>
      <c r="F926" s="29"/>
      <c r="G926" s="29"/>
      <c r="H926" s="41"/>
      <c r="I926" s="41"/>
      <c r="J926" s="51"/>
      <c r="K926" s="29"/>
      <c r="L926" s="29"/>
      <c r="M926" s="29"/>
      <c r="N926" s="29"/>
      <c r="O926" s="52"/>
      <c r="P926" s="52"/>
      <c r="Q926" s="52"/>
      <c r="R926" s="53"/>
      <c r="S926" s="52"/>
      <c r="T926" s="52"/>
      <c r="U926" s="29"/>
      <c r="V926" s="54"/>
      <c r="W926" s="54"/>
    </row>
    <row r="927" ht="15.75" customHeight="1">
      <c r="A927" s="29"/>
      <c r="B927" s="16"/>
      <c r="C927" s="29"/>
      <c r="D927" s="29"/>
      <c r="E927" s="29"/>
      <c r="F927" s="29"/>
      <c r="G927" s="29"/>
      <c r="H927" s="41"/>
      <c r="I927" s="41"/>
      <c r="J927" s="51"/>
      <c r="K927" s="29"/>
      <c r="L927" s="29"/>
      <c r="M927" s="29"/>
      <c r="N927" s="29"/>
      <c r="O927" s="52"/>
      <c r="P927" s="52"/>
      <c r="Q927" s="52"/>
      <c r="R927" s="53"/>
      <c r="S927" s="52"/>
      <c r="T927" s="52"/>
      <c r="U927" s="29"/>
      <c r="V927" s="54"/>
      <c r="W927" s="54"/>
    </row>
    <row r="928" ht="15.75" customHeight="1">
      <c r="A928" s="29"/>
      <c r="B928" s="16"/>
      <c r="C928" s="29"/>
      <c r="D928" s="29"/>
      <c r="E928" s="29"/>
      <c r="F928" s="29"/>
      <c r="G928" s="29"/>
      <c r="H928" s="41"/>
      <c r="I928" s="41"/>
      <c r="J928" s="51"/>
      <c r="K928" s="29"/>
      <c r="L928" s="29"/>
      <c r="M928" s="29"/>
      <c r="N928" s="29"/>
      <c r="O928" s="52"/>
      <c r="P928" s="52"/>
      <c r="Q928" s="52"/>
      <c r="R928" s="53"/>
      <c r="S928" s="52"/>
      <c r="T928" s="52"/>
      <c r="U928" s="29"/>
      <c r="V928" s="54"/>
      <c r="W928" s="54"/>
    </row>
    <row r="929" ht="15.75" customHeight="1">
      <c r="A929" s="29"/>
      <c r="B929" s="16"/>
      <c r="C929" s="29"/>
      <c r="D929" s="29"/>
      <c r="E929" s="29"/>
      <c r="F929" s="29"/>
      <c r="G929" s="29"/>
      <c r="H929" s="41"/>
      <c r="I929" s="41"/>
      <c r="J929" s="51"/>
      <c r="K929" s="29"/>
      <c r="L929" s="29"/>
      <c r="M929" s="29"/>
      <c r="N929" s="29"/>
      <c r="O929" s="52"/>
      <c r="P929" s="52"/>
      <c r="Q929" s="52"/>
      <c r="R929" s="53"/>
      <c r="S929" s="52"/>
      <c r="T929" s="52"/>
      <c r="U929" s="29"/>
      <c r="V929" s="54"/>
      <c r="W929" s="54"/>
    </row>
    <row r="930" ht="15.75" customHeight="1">
      <c r="A930" s="29"/>
      <c r="B930" s="16"/>
      <c r="C930" s="29"/>
      <c r="D930" s="29"/>
      <c r="E930" s="29"/>
      <c r="F930" s="29"/>
      <c r="G930" s="29"/>
      <c r="H930" s="41"/>
      <c r="I930" s="41"/>
      <c r="J930" s="51"/>
      <c r="K930" s="29"/>
      <c r="L930" s="29"/>
      <c r="M930" s="29"/>
      <c r="N930" s="29"/>
      <c r="O930" s="52"/>
      <c r="P930" s="52"/>
      <c r="Q930" s="52"/>
      <c r="R930" s="53"/>
      <c r="S930" s="52"/>
      <c r="T930" s="52"/>
      <c r="U930" s="29"/>
      <c r="V930" s="54"/>
      <c r="W930" s="54"/>
    </row>
    <row r="931" ht="15.75" customHeight="1">
      <c r="A931" s="29"/>
      <c r="B931" s="16"/>
      <c r="C931" s="29"/>
      <c r="D931" s="29"/>
      <c r="E931" s="29"/>
      <c r="F931" s="29"/>
      <c r="G931" s="29"/>
      <c r="H931" s="41"/>
      <c r="I931" s="41"/>
      <c r="J931" s="51"/>
      <c r="K931" s="29"/>
      <c r="L931" s="29"/>
      <c r="M931" s="29"/>
      <c r="N931" s="29"/>
      <c r="O931" s="52"/>
      <c r="P931" s="52"/>
      <c r="Q931" s="52"/>
      <c r="R931" s="53"/>
      <c r="S931" s="52"/>
      <c r="T931" s="52"/>
      <c r="U931" s="29"/>
      <c r="V931" s="54"/>
      <c r="W931" s="54"/>
    </row>
    <row r="932" ht="15.75" customHeight="1">
      <c r="A932" s="29"/>
      <c r="B932" s="16"/>
      <c r="C932" s="29"/>
      <c r="D932" s="29"/>
      <c r="E932" s="29"/>
      <c r="F932" s="29"/>
      <c r="G932" s="29"/>
      <c r="H932" s="41"/>
      <c r="I932" s="41"/>
      <c r="J932" s="51"/>
      <c r="K932" s="29"/>
      <c r="L932" s="29"/>
      <c r="M932" s="29"/>
      <c r="N932" s="29"/>
      <c r="O932" s="52"/>
      <c r="P932" s="52"/>
      <c r="Q932" s="52"/>
      <c r="R932" s="53"/>
      <c r="S932" s="52"/>
      <c r="T932" s="52"/>
      <c r="U932" s="29"/>
      <c r="V932" s="54"/>
      <c r="W932" s="54"/>
    </row>
    <row r="933" ht="15.75" customHeight="1">
      <c r="A933" s="29"/>
      <c r="B933" s="16"/>
      <c r="C933" s="29"/>
      <c r="D933" s="29"/>
      <c r="E933" s="29"/>
      <c r="F933" s="29"/>
      <c r="G933" s="29"/>
      <c r="H933" s="41"/>
      <c r="I933" s="41"/>
      <c r="J933" s="51"/>
      <c r="K933" s="29"/>
      <c r="L933" s="29"/>
      <c r="M933" s="29"/>
      <c r="N933" s="29"/>
      <c r="O933" s="52"/>
      <c r="P933" s="52"/>
      <c r="Q933" s="52"/>
      <c r="R933" s="53"/>
      <c r="S933" s="52"/>
      <c r="T933" s="52"/>
      <c r="U933" s="29"/>
      <c r="V933" s="54"/>
      <c r="W933" s="54"/>
    </row>
    <row r="934" ht="15.75" customHeight="1">
      <c r="A934" s="29"/>
      <c r="B934" s="16"/>
      <c r="C934" s="29"/>
      <c r="D934" s="29"/>
      <c r="E934" s="29"/>
      <c r="F934" s="29"/>
      <c r="G934" s="29"/>
      <c r="H934" s="41"/>
      <c r="I934" s="41"/>
      <c r="J934" s="51"/>
      <c r="K934" s="29"/>
      <c r="L934" s="29"/>
      <c r="M934" s="29"/>
      <c r="N934" s="29"/>
      <c r="O934" s="52"/>
      <c r="P934" s="52"/>
      <c r="Q934" s="52"/>
      <c r="R934" s="53"/>
      <c r="S934" s="52"/>
      <c r="T934" s="52"/>
      <c r="U934" s="29"/>
      <c r="V934" s="54"/>
      <c r="W934" s="54"/>
    </row>
    <row r="935" ht="15.75" customHeight="1">
      <c r="A935" s="29"/>
      <c r="B935" s="16"/>
      <c r="C935" s="29"/>
      <c r="D935" s="29"/>
      <c r="E935" s="29"/>
      <c r="F935" s="29"/>
      <c r="G935" s="29"/>
      <c r="H935" s="41"/>
      <c r="I935" s="41"/>
      <c r="J935" s="51"/>
      <c r="K935" s="29"/>
      <c r="L935" s="29"/>
      <c r="M935" s="29"/>
      <c r="N935" s="29"/>
      <c r="O935" s="52"/>
      <c r="P935" s="52"/>
      <c r="Q935" s="52"/>
      <c r="R935" s="53"/>
      <c r="S935" s="52"/>
      <c r="T935" s="52"/>
      <c r="U935" s="29"/>
      <c r="V935" s="54"/>
      <c r="W935" s="54"/>
    </row>
    <row r="936" ht="15.75" customHeight="1">
      <c r="A936" s="29"/>
      <c r="B936" s="16"/>
      <c r="C936" s="29"/>
      <c r="D936" s="29"/>
      <c r="E936" s="29"/>
      <c r="F936" s="29"/>
      <c r="G936" s="29"/>
      <c r="H936" s="41"/>
      <c r="I936" s="41"/>
      <c r="J936" s="51"/>
      <c r="K936" s="29"/>
      <c r="L936" s="29"/>
      <c r="M936" s="29"/>
      <c r="N936" s="29"/>
      <c r="O936" s="52"/>
      <c r="P936" s="52"/>
      <c r="Q936" s="52"/>
      <c r="R936" s="53"/>
      <c r="S936" s="52"/>
      <c r="T936" s="52"/>
      <c r="U936" s="29"/>
      <c r="V936" s="54"/>
      <c r="W936" s="54"/>
    </row>
    <row r="937" ht="15.75" customHeight="1">
      <c r="A937" s="29"/>
      <c r="B937" s="16"/>
      <c r="C937" s="29"/>
      <c r="D937" s="29"/>
      <c r="E937" s="29"/>
      <c r="F937" s="29"/>
      <c r="G937" s="29"/>
      <c r="H937" s="41"/>
      <c r="I937" s="41"/>
      <c r="J937" s="51"/>
      <c r="K937" s="29"/>
      <c r="L937" s="29"/>
      <c r="M937" s="29"/>
      <c r="N937" s="29"/>
      <c r="O937" s="52"/>
      <c r="P937" s="52"/>
      <c r="Q937" s="52"/>
      <c r="R937" s="53"/>
      <c r="S937" s="52"/>
      <c r="T937" s="52"/>
      <c r="U937" s="29"/>
      <c r="V937" s="54"/>
      <c r="W937" s="54"/>
    </row>
    <row r="938" ht="15.75" customHeight="1">
      <c r="A938" s="29"/>
      <c r="B938" s="16"/>
      <c r="C938" s="29"/>
      <c r="D938" s="29"/>
      <c r="E938" s="29"/>
      <c r="F938" s="29"/>
      <c r="G938" s="29"/>
      <c r="H938" s="41"/>
      <c r="I938" s="41"/>
      <c r="J938" s="51"/>
      <c r="K938" s="29"/>
      <c r="L938" s="29"/>
      <c r="M938" s="29"/>
      <c r="N938" s="29"/>
      <c r="O938" s="52"/>
      <c r="P938" s="52"/>
      <c r="Q938" s="52"/>
      <c r="R938" s="53"/>
      <c r="S938" s="52"/>
      <c r="T938" s="52"/>
      <c r="U938" s="29"/>
      <c r="V938" s="54"/>
      <c r="W938" s="54"/>
    </row>
    <row r="939" ht="15.75" customHeight="1">
      <c r="A939" s="29"/>
      <c r="B939" s="16"/>
      <c r="C939" s="29"/>
      <c r="D939" s="29"/>
      <c r="E939" s="29"/>
      <c r="F939" s="29"/>
      <c r="G939" s="29"/>
      <c r="H939" s="41"/>
      <c r="I939" s="41"/>
      <c r="J939" s="51"/>
      <c r="K939" s="29"/>
      <c r="L939" s="29"/>
      <c r="M939" s="29"/>
      <c r="N939" s="29"/>
      <c r="O939" s="52"/>
      <c r="P939" s="52"/>
      <c r="Q939" s="52"/>
      <c r="R939" s="53"/>
      <c r="S939" s="52"/>
      <c r="T939" s="52"/>
      <c r="U939" s="29"/>
      <c r="V939" s="54"/>
      <c r="W939" s="54"/>
    </row>
    <row r="940" ht="15.75" customHeight="1">
      <c r="A940" s="29"/>
      <c r="B940" s="16"/>
      <c r="C940" s="29"/>
      <c r="D940" s="29"/>
      <c r="E940" s="29"/>
      <c r="F940" s="29"/>
      <c r="G940" s="29"/>
      <c r="H940" s="41"/>
      <c r="I940" s="41"/>
      <c r="J940" s="51"/>
      <c r="K940" s="29"/>
      <c r="L940" s="29"/>
      <c r="M940" s="29"/>
      <c r="N940" s="29"/>
      <c r="O940" s="52"/>
      <c r="P940" s="52"/>
      <c r="Q940" s="52"/>
      <c r="R940" s="53"/>
      <c r="S940" s="52"/>
      <c r="T940" s="52"/>
      <c r="U940" s="29"/>
      <c r="V940" s="54"/>
      <c r="W940" s="54"/>
    </row>
    <row r="941" ht="15.75" customHeight="1">
      <c r="A941" s="29"/>
      <c r="B941" s="16"/>
      <c r="C941" s="29"/>
      <c r="D941" s="29"/>
      <c r="E941" s="29"/>
      <c r="F941" s="29"/>
      <c r="G941" s="29"/>
      <c r="H941" s="41"/>
      <c r="I941" s="41"/>
      <c r="J941" s="51"/>
      <c r="K941" s="29"/>
      <c r="L941" s="29"/>
      <c r="M941" s="29"/>
      <c r="N941" s="29"/>
      <c r="O941" s="52"/>
      <c r="P941" s="52"/>
      <c r="Q941" s="52"/>
      <c r="R941" s="53"/>
      <c r="S941" s="52"/>
      <c r="T941" s="52"/>
      <c r="U941" s="29"/>
      <c r="V941" s="54"/>
      <c r="W941" s="54"/>
    </row>
    <row r="942" ht="15.75" customHeight="1">
      <c r="A942" s="29"/>
      <c r="B942" s="16"/>
      <c r="C942" s="29"/>
      <c r="D942" s="29"/>
      <c r="E942" s="29"/>
      <c r="F942" s="29"/>
      <c r="G942" s="29"/>
      <c r="H942" s="41"/>
      <c r="I942" s="41"/>
      <c r="J942" s="51"/>
      <c r="K942" s="29"/>
      <c r="L942" s="29"/>
      <c r="M942" s="29"/>
      <c r="N942" s="29"/>
      <c r="O942" s="52"/>
      <c r="P942" s="52"/>
      <c r="Q942" s="52"/>
      <c r="R942" s="53"/>
      <c r="S942" s="52"/>
      <c r="T942" s="52"/>
      <c r="U942" s="29"/>
      <c r="V942" s="54"/>
      <c r="W942" s="54"/>
    </row>
    <row r="943" ht="15.75" customHeight="1">
      <c r="A943" s="29"/>
      <c r="B943" s="16"/>
      <c r="C943" s="29"/>
      <c r="D943" s="29"/>
      <c r="E943" s="29"/>
      <c r="F943" s="29"/>
      <c r="G943" s="29"/>
      <c r="H943" s="41"/>
      <c r="I943" s="41"/>
      <c r="J943" s="51"/>
      <c r="K943" s="29"/>
      <c r="L943" s="29"/>
      <c r="M943" s="29"/>
      <c r="N943" s="29"/>
      <c r="O943" s="52"/>
      <c r="P943" s="52"/>
      <c r="Q943" s="52"/>
      <c r="R943" s="53"/>
      <c r="S943" s="52"/>
      <c r="T943" s="52"/>
      <c r="U943" s="29"/>
      <c r="V943" s="54"/>
      <c r="W943" s="54"/>
    </row>
    <row r="944" ht="15.75" customHeight="1">
      <c r="A944" s="29"/>
      <c r="B944" s="16"/>
      <c r="C944" s="29"/>
      <c r="D944" s="29"/>
      <c r="E944" s="29"/>
      <c r="F944" s="29"/>
      <c r="G944" s="29"/>
      <c r="H944" s="41"/>
      <c r="I944" s="41"/>
      <c r="J944" s="51"/>
      <c r="K944" s="29"/>
      <c r="L944" s="29"/>
      <c r="M944" s="29"/>
      <c r="N944" s="29"/>
      <c r="O944" s="52"/>
      <c r="P944" s="52"/>
      <c r="Q944" s="52"/>
      <c r="R944" s="53"/>
      <c r="S944" s="52"/>
      <c r="T944" s="52"/>
      <c r="U944" s="29"/>
      <c r="V944" s="54"/>
      <c r="W944" s="54"/>
    </row>
    <row r="945" ht="15.75" customHeight="1">
      <c r="A945" s="29"/>
      <c r="B945" s="16"/>
      <c r="C945" s="29"/>
      <c r="D945" s="29"/>
      <c r="E945" s="29"/>
      <c r="F945" s="29"/>
      <c r="G945" s="29"/>
      <c r="H945" s="41"/>
      <c r="I945" s="41"/>
      <c r="J945" s="51"/>
      <c r="K945" s="29"/>
      <c r="L945" s="29"/>
      <c r="M945" s="29"/>
      <c r="N945" s="29"/>
      <c r="O945" s="52"/>
      <c r="P945" s="52"/>
      <c r="Q945" s="52"/>
      <c r="R945" s="53"/>
      <c r="S945" s="52"/>
      <c r="T945" s="52"/>
      <c r="U945" s="29"/>
      <c r="V945" s="54"/>
      <c r="W945" s="54"/>
    </row>
    <row r="946" ht="15.75" customHeight="1">
      <c r="A946" s="29"/>
      <c r="B946" s="16"/>
      <c r="C946" s="29"/>
      <c r="D946" s="29"/>
      <c r="E946" s="29"/>
      <c r="F946" s="29"/>
      <c r="G946" s="29"/>
      <c r="H946" s="41"/>
      <c r="I946" s="41"/>
      <c r="J946" s="51"/>
      <c r="K946" s="29"/>
      <c r="L946" s="29"/>
      <c r="M946" s="29"/>
      <c r="N946" s="29"/>
      <c r="O946" s="52"/>
      <c r="P946" s="52"/>
      <c r="Q946" s="52"/>
      <c r="R946" s="53"/>
      <c r="S946" s="52"/>
      <c r="T946" s="52"/>
      <c r="U946" s="29"/>
      <c r="V946" s="54"/>
      <c r="W946" s="54"/>
    </row>
    <row r="947" ht="15.75" customHeight="1">
      <c r="A947" s="29"/>
      <c r="B947" s="16"/>
      <c r="C947" s="29"/>
      <c r="D947" s="29"/>
      <c r="E947" s="29"/>
      <c r="F947" s="29"/>
      <c r="G947" s="29"/>
      <c r="H947" s="41"/>
      <c r="I947" s="41"/>
      <c r="J947" s="51"/>
      <c r="K947" s="29"/>
      <c r="L947" s="29"/>
      <c r="M947" s="29"/>
      <c r="N947" s="29"/>
      <c r="O947" s="52"/>
      <c r="P947" s="52"/>
      <c r="Q947" s="52"/>
      <c r="R947" s="53"/>
      <c r="S947" s="52"/>
      <c r="T947" s="52"/>
      <c r="U947" s="29"/>
      <c r="V947" s="54"/>
      <c r="W947" s="54"/>
    </row>
    <row r="948" ht="15.75" customHeight="1">
      <c r="A948" s="29"/>
      <c r="B948" s="16"/>
      <c r="C948" s="29"/>
      <c r="D948" s="29"/>
      <c r="E948" s="29"/>
      <c r="F948" s="29"/>
      <c r="G948" s="29"/>
      <c r="H948" s="41"/>
      <c r="I948" s="41"/>
      <c r="J948" s="51"/>
      <c r="K948" s="29"/>
      <c r="L948" s="29"/>
      <c r="M948" s="29"/>
      <c r="N948" s="29"/>
      <c r="O948" s="52"/>
      <c r="P948" s="52"/>
      <c r="Q948" s="52"/>
      <c r="R948" s="53"/>
      <c r="S948" s="52"/>
      <c r="T948" s="52"/>
      <c r="U948" s="29"/>
      <c r="V948" s="54"/>
      <c r="W948" s="54"/>
    </row>
    <row r="949" ht="15.75" customHeight="1">
      <c r="A949" s="29"/>
      <c r="B949" s="16"/>
      <c r="C949" s="29"/>
      <c r="D949" s="29"/>
      <c r="E949" s="29"/>
      <c r="F949" s="29"/>
      <c r="G949" s="29"/>
      <c r="H949" s="41"/>
      <c r="I949" s="41"/>
      <c r="J949" s="51"/>
      <c r="K949" s="29"/>
      <c r="L949" s="29"/>
      <c r="M949" s="29"/>
      <c r="N949" s="29"/>
      <c r="O949" s="52"/>
      <c r="P949" s="52"/>
      <c r="Q949" s="52"/>
      <c r="R949" s="53"/>
      <c r="S949" s="52"/>
      <c r="T949" s="52"/>
      <c r="U949" s="29"/>
      <c r="V949" s="54"/>
      <c r="W949" s="54"/>
    </row>
    <row r="950" ht="15.75" customHeight="1">
      <c r="A950" s="29"/>
      <c r="B950" s="16"/>
      <c r="C950" s="29"/>
      <c r="D950" s="29"/>
      <c r="E950" s="29"/>
      <c r="F950" s="29"/>
      <c r="G950" s="29"/>
      <c r="H950" s="41"/>
      <c r="I950" s="41"/>
      <c r="J950" s="51"/>
      <c r="K950" s="29"/>
      <c r="L950" s="29"/>
      <c r="M950" s="29"/>
      <c r="N950" s="29"/>
      <c r="O950" s="52"/>
      <c r="P950" s="52"/>
      <c r="Q950" s="52"/>
      <c r="R950" s="53"/>
      <c r="S950" s="52"/>
      <c r="T950" s="52"/>
      <c r="U950" s="29"/>
      <c r="V950" s="54"/>
      <c r="W950" s="54"/>
    </row>
    <row r="951" ht="15.75" customHeight="1">
      <c r="A951" s="29"/>
      <c r="B951" s="16"/>
      <c r="C951" s="29"/>
      <c r="D951" s="29"/>
      <c r="E951" s="29"/>
      <c r="F951" s="29"/>
      <c r="G951" s="29"/>
      <c r="H951" s="41"/>
      <c r="I951" s="41"/>
      <c r="J951" s="51"/>
      <c r="K951" s="29"/>
      <c r="L951" s="29"/>
      <c r="M951" s="29"/>
      <c r="N951" s="29"/>
      <c r="O951" s="52"/>
      <c r="P951" s="52"/>
      <c r="Q951" s="52"/>
      <c r="R951" s="53"/>
      <c r="S951" s="52"/>
      <c r="T951" s="52"/>
      <c r="U951" s="29"/>
      <c r="V951" s="54"/>
      <c r="W951" s="54"/>
    </row>
    <row r="952" ht="15.75" customHeight="1">
      <c r="A952" s="29"/>
      <c r="B952" s="16"/>
      <c r="C952" s="29"/>
      <c r="D952" s="29"/>
      <c r="E952" s="29"/>
      <c r="F952" s="29"/>
      <c r="G952" s="29"/>
      <c r="H952" s="41"/>
      <c r="I952" s="41"/>
      <c r="J952" s="51"/>
      <c r="K952" s="29"/>
      <c r="L952" s="29"/>
      <c r="M952" s="29"/>
      <c r="N952" s="29"/>
      <c r="O952" s="52"/>
      <c r="P952" s="52"/>
      <c r="Q952" s="52"/>
      <c r="R952" s="53"/>
      <c r="S952" s="52"/>
      <c r="T952" s="52"/>
      <c r="U952" s="29"/>
      <c r="V952" s="54"/>
      <c r="W952" s="54"/>
    </row>
    <row r="953" ht="15.75" customHeight="1">
      <c r="A953" s="29"/>
      <c r="B953" s="16"/>
      <c r="C953" s="29"/>
      <c r="D953" s="29"/>
      <c r="E953" s="29"/>
      <c r="F953" s="29"/>
      <c r="G953" s="29"/>
      <c r="H953" s="41"/>
      <c r="I953" s="41"/>
      <c r="J953" s="51"/>
      <c r="K953" s="29"/>
      <c r="L953" s="29"/>
      <c r="M953" s="29"/>
      <c r="N953" s="29"/>
      <c r="O953" s="52"/>
      <c r="P953" s="52"/>
      <c r="Q953" s="52"/>
      <c r="R953" s="53"/>
      <c r="S953" s="52"/>
      <c r="T953" s="52"/>
      <c r="U953" s="29"/>
      <c r="V953" s="54"/>
      <c r="W953" s="54"/>
    </row>
    <row r="954" ht="15.75" customHeight="1">
      <c r="A954" s="29"/>
      <c r="B954" s="16"/>
      <c r="C954" s="29"/>
      <c r="D954" s="29"/>
      <c r="E954" s="29"/>
      <c r="F954" s="29"/>
      <c r="G954" s="29"/>
      <c r="H954" s="41"/>
      <c r="I954" s="41"/>
      <c r="J954" s="51"/>
      <c r="K954" s="29"/>
      <c r="L954" s="29"/>
      <c r="M954" s="29"/>
      <c r="N954" s="29"/>
      <c r="O954" s="52"/>
      <c r="P954" s="52"/>
      <c r="Q954" s="52"/>
      <c r="R954" s="53"/>
      <c r="S954" s="52"/>
      <c r="T954" s="52"/>
      <c r="U954" s="29"/>
      <c r="V954" s="54"/>
      <c r="W954" s="54"/>
    </row>
    <row r="955" ht="15.75" customHeight="1">
      <c r="A955" s="29"/>
      <c r="B955" s="16"/>
      <c r="C955" s="29"/>
      <c r="D955" s="29"/>
      <c r="E955" s="29"/>
      <c r="F955" s="29"/>
      <c r="G955" s="29"/>
      <c r="H955" s="41"/>
      <c r="I955" s="41"/>
      <c r="J955" s="51"/>
      <c r="K955" s="29"/>
      <c r="L955" s="29"/>
      <c r="M955" s="29"/>
      <c r="N955" s="29"/>
      <c r="O955" s="52"/>
      <c r="P955" s="52"/>
      <c r="Q955" s="52"/>
      <c r="R955" s="53"/>
      <c r="S955" s="52"/>
      <c r="T955" s="52"/>
      <c r="U955" s="29"/>
      <c r="V955" s="54"/>
      <c r="W955" s="54"/>
    </row>
    <row r="956" ht="15.75" customHeight="1">
      <c r="A956" s="29"/>
      <c r="B956" s="16"/>
      <c r="C956" s="29"/>
      <c r="D956" s="29"/>
      <c r="E956" s="29"/>
      <c r="F956" s="29"/>
      <c r="G956" s="29"/>
      <c r="H956" s="41"/>
      <c r="I956" s="41"/>
      <c r="J956" s="51"/>
      <c r="K956" s="29"/>
      <c r="L956" s="29"/>
      <c r="M956" s="29"/>
      <c r="N956" s="29"/>
      <c r="O956" s="52"/>
      <c r="P956" s="52"/>
      <c r="Q956" s="52"/>
      <c r="R956" s="53"/>
      <c r="S956" s="52"/>
      <c r="T956" s="52"/>
      <c r="U956" s="29"/>
      <c r="V956" s="54"/>
      <c r="W956" s="54"/>
    </row>
    <row r="957" ht="15.75" customHeight="1">
      <c r="A957" s="29"/>
      <c r="B957" s="16"/>
      <c r="C957" s="29"/>
      <c r="D957" s="29"/>
      <c r="E957" s="29"/>
      <c r="F957" s="29"/>
      <c r="G957" s="29"/>
      <c r="H957" s="41"/>
      <c r="I957" s="41"/>
      <c r="J957" s="51"/>
      <c r="K957" s="29"/>
      <c r="L957" s="29"/>
      <c r="M957" s="29"/>
      <c r="N957" s="29"/>
      <c r="O957" s="52"/>
      <c r="P957" s="52"/>
      <c r="Q957" s="52"/>
      <c r="R957" s="53"/>
      <c r="S957" s="52"/>
      <c r="T957" s="52"/>
      <c r="U957" s="29"/>
      <c r="V957" s="54"/>
      <c r="W957" s="54"/>
    </row>
    <row r="958" ht="15.75" customHeight="1">
      <c r="A958" s="29"/>
      <c r="B958" s="16"/>
      <c r="C958" s="29"/>
      <c r="D958" s="29"/>
      <c r="E958" s="29"/>
      <c r="F958" s="29"/>
      <c r="G958" s="29"/>
      <c r="H958" s="41"/>
      <c r="I958" s="41"/>
      <c r="J958" s="51"/>
      <c r="K958" s="29"/>
      <c r="L958" s="29"/>
      <c r="M958" s="29"/>
      <c r="N958" s="29"/>
      <c r="O958" s="52"/>
      <c r="P958" s="52"/>
      <c r="Q958" s="52"/>
      <c r="R958" s="53"/>
      <c r="S958" s="52"/>
      <c r="T958" s="52"/>
      <c r="U958" s="29"/>
      <c r="V958" s="54"/>
      <c r="W958" s="54"/>
    </row>
    <row r="959" ht="15.75" customHeight="1">
      <c r="A959" s="29"/>
      <c r="B959" s="16"/>
      <c r="C959" s="29"/>
      <c r="D959" s="29"/>
      <c r="E959" s="29"/>
      <c r="F959" s="29"/>
      <c r="G959" s="29"/>
      <c r="H959" s="41"/>
      <c r="I959" s="41"/>
      <c r="J959" s="51"/>
      <c r="K959" s="29"/>
      <c r="L959" s="29"/>
      <c r="M959" s="29"/>
      <c r="N959" s="29"/>
      <c r="O959" s="52"/>
      <c r="P959" s="52"/>
      <c r="Q959" s="52"/>
      <c r="R959" s="53"/>
      <c r="S959" s="52"/>
      <c r="T959" s="52"/>
      <c r="U959" s="29"/>
      <c r="V959" s="54"/>
      <c r="W959" s="54"/>
    </row>
    <row r="960" ht="15.75" customHeight="1">
      <c r="A960" s="29"/>
      <c r="B960" s="16"/>
      <c r="C960" s="29"/>
      <c r="D960" s="29"/>
      <c r="E960" s="29"/>
      <c r="F960" s="29"/>
      <c r="G960" s="29"/>
      <c r="H960" s="41"/>
      <c r="I960" s="41"/>
      <c r="J960" s="51"/>
      <c r="K960" s="29"/>
      <c r="L960" s="29"/>
      <c r="M960" s="29"/>
      <c r="N960" s="29"/>
      <c r="O960" s="52"/>
      <c r="P960" s="52"/>
      <c r="Q960" s="52"/>
      <c r="R960" s="53"/>
      <c r="S960" s="52"/>
      <c r="T960" s="52"/>
      <c r="U960" s="29"/>
      <c r="V960" s="54"/>
      <c r="W960" s="54"/>
    </row>
    <row r="961" ht="15.75" customHeight="1">
      <c r="A961" s="29"/>
      <c r="B961" s="16"/>
      <c r="C961" s="29"/>
      <c r="D961" s="29"/>
      <c r="E961" s="29"/>
      <c r="F961" s="29"/>
      <c r="G961" s="29"/>
      <c r="H961" s="41"/>
      <c r="I961" s="41"/>
      <c r="J961" s="51"/>
      <c r="K961" s="29"/>
      <c r="L961" s="29"/>
      <c r="M961" s="29"/>
      <c r="N961" s="29"/>
      <c r="O961" s="52"/>
      <c r="P961" s="52"/>
      <c r="Q961" s="52"/>
      <c r="R961" s="53"/>
      <c r="S961" s="52"/>
      <c r="T961" s="52"/>
      <c r="U961" s="29"/>
      <c r="V961" s="54"/>
      <c r="W961" s="54"/>
    </row>
    <row r="962" ht="15.75" customHeight="1">
      <c r="A962" s="29"/>
      <c r="B962" s="16"/>
      <c r="C962" s="29"/>
      <c r="D962" s="29"/>
      <c r="E962" s="29"/>
      <c r="F962" s="29"/>
      <c r="G962" s="29"/>
      <c r="H962" s="41"/>
      <c r="I962" s="41"/>
      <c r="J962" s="51"/>
      <c r="K962" s="29"/>
      <c r="L962" s="29"/>
      <c r="M962" s="29"/>
      <c r="N962" s="29"/>
      <c r="O962" s="52"/>
      <c r="P962" s="52"/>
      <c r="Q962" s="52"/>
      <c r="R962" s="53"/>
      <c r="S962" s="52"/>
      <c r="T962" s="52"/>
      <c r="U962" s="29"/>
      <c r="V962" s="54"/>
      <c r="W962" s="54"/>
    </row>
    <row r="963" ht="15.75" customHeight="1">
      <c r="A963" s="29"/>
      <c r="B963" s="16"/>
      <c r="C963" s="29"/>
      <c r="D963" s="29"/>
      <c r="E963" s="29"/>
      <c r="F963" s="29"/>
      <c r="G963" s="29"/>
      <c r="H963" s="41"/>
      <c r="I963" s="41"/>
      <c r="J963" s="51"/>
      <c r="K963" s="29"/>
      <c r="L963" s="29"/>
      <c r="M963" s="29"/>
      <c r="N963" s="29"/>
      <c r="O963" s="52"/>
      <c r="P963" s="52"/>
      <c r="Q963" s="52"/>
      <c r="R963" s="53"/>
      <c r="S963" s="52"/>
      <c r="T963" s="52"/>
      <c r="U963" s="29"/>
      <c r="V963" s="54"/>
      <c r="W963" s="54"/>
    </row>
    <row r="964" ht="15.75" customHeight="1">
      <c r="A964" s="29"/>
      <c r="B964" s="16"/>
      <c r="C964" s="29"/>
      <c r="D964" s="29"/>
      <c r="E964" s="29"/>
      <c r="F964" s="29"/>
      <c r="G964" s="29"/>
      <c r="H964" s="41"/>
      <c r="I964" s="41"/>
      <c r="J964" s="51"/>
      <c r="K964" s="29"/>
      <c r="L964" s="29"/>
      <c r="M964" s="29"/>
      <c r="N964" s="29"/>
      <c r="O964" s="52"/>
      <c r="P964" s="52"/>
      <c r="Q964" s="52"/>
      <c r="R964" s="53"/>
      <c r="S964" s="52"/>
      <c r="T964" s="52"/>
      <c r="U964" s="29"/>
      <c r="V964" s="54"/>
      <c r="W964" s="54"/>
    </row>
    <row r="965" ht="15.75" customHeight="1">
      <c r="A965" s="29"/>
      <c r="B965" s="16"/>
      <c r="C965" s="29"/>
      <c r="D965" s="29"/>
      <c r="E965" s="29"/>
      <c r="F965" s="29"/>
      <c r="G965" s="29"/>
      <c r="H965" s="41"/>
      <c r="I965" s="41"/>
      <c r="J965" s="51"/>
      <c r="K965" s="29"/>
      <c r="L965" s="29"/>
      <c r="M965" s="29"/>
      <c r="N965" s="29"/>
      <c r="O965" s="52"/>
      <c r="P965" s="52"/>
      <c r="Q965" s="52"/>
      <c r="R965" s="53"/>
      <c r="S965" s="52"/>
      <c r="T965" s="52"/>
      <c r="U965" s="29"/>
      <c r="V965" s="54"/>
      <c r="W965" s="54"/>
    </row>
    <row r="966" ht="15.75" customHeight="1">
      <c r="A966" s="29"/>
      <c r="B966" s="16"/>
      <c r="C966" s="29"/>
      <c r="D966" s="29"/>
      <c r="E966" s="29"/>
      <c r="F966" s="29"/>
      <c r="G966" s="29"/>
      <c r="H966" s="41"/>
      <c r="I966" s="41"/>
      <c r="J966" s="51"/>
      <c r="K966" s="29"/>
      <c r="L966" s="29"/>
      <c r="M966" s="29"/>
      <c r="N966" s="29"/>
      <c r="O966" s="52"/>
      <c r="P966" s="52"/>
      <c r="Q966" s="52"/>
      <c r="R966" s="53"/>
      <c r="S966" s="52"/>
      <c r="T966" s="52"/>
      <c r="U966" s="29"/>
      <c r="V966" s="54"/>
      <c r="W966" s="54"/>
    </row>
    <row r="967" ht="15.75" customHeight="1">
      <c r="A967" s="29"/>
      <c r="B967" s="16"/>
      <c r="C967" s="29"/>
      <c r="D967" s="29"/>
      <c r="E967" s="29"/>
      <c r="F967" s="29"/>
      <c r="G967" s="29"/>
      <c r="H967" s="41"/>
      <c r="I967" s="41"/>
      <c r="J967" s="51"/>
      <c r="K967" s="29"/>
      <c r="L967" s="29"/>
      <c r="M967" s="29"/>
      <c r="N967" s="29"/>
      <c r="O967" s="52"/>
      <c r="P967" s="52"/>
      <c r="Q967" s="52"/>
      <c r="R967" s="53"/>
      <c r="S967" s="52"/>
      <c r="T967" s="52"/>
      <c r="U967" s="29"/>
      <c r="V967" s="54"/>
      <c r="W967" s="54"/>
    </row>
    <row r="968" ht="15.75" customHeight="1">
      <c r="A968" s="29"/>
      <c r="B968" s="16"/>
      <c r="C968" s="29"/>
      <c r="D968" s="29"/>
      <c r="E968" s="29"/>
      <c r="F968" s="29"/>
      <c r="G968" s="29"/>
      <c r="H968" s="41"/>
      <c r="I968" s="41"/>
      <c r="J968" s="51"/>
      <c r="K968" s="29"/>
      <c r="L968" s="29"/>
      <c r="M968" s="29"/>
      <c r="N968" s="29"/>
      <c r="O968" s="52"/>
      <c r="P968" s="52"/>
      <c r="Q968" s="52"/>
      <c r="R968" s="53"/>
      <c r="S968" s="52"/>
      <c r="T968" s="52"/>
      <c r="U968" s="29"/>
      <c r="V968" s="54"/>
      <c r="W968" s="54"/>
    </row>
    <row r="969" ht="15.75" customHeight="1">
      <c r="A969" s="29"/>
      <c r="B969" s="16"/>
      <c r="C969" s="29"/>
      <c r="D969" s="29"/>
      <c r="E969" s="29"/>
      <c r="F969" s="29"/>
      <c r="G969" s="29"/>
      <c r="H969" s="41"/>
      <c r="I969" s="41"/>
      <c r="J969" s="51"/>
      <c r="K969" s="29"/>
      <c r="L969" s="29"/>
      <c r="M969" s="29"/>
      <c r="N969" s="29"/>
      <c r="O969" s="52"/>
      <c r="P969" s="52"/>
      <c r="Q969" s="52"/>
      <c r="R969" s="53"/>
      <c r="S969" s="52"/>
      <c r="T969" s="52"/>
      <c r="U969" s="29"/>
      <c r="V969" s="54"/>
      <c r="W969" s="54"/>
    </row>
    <row r="970" ht="15.75" customHeight="1">
      <c r="A970" s="29"/>
      <c r="B970" s="16"/>
      <c r="C970" s="29"/>
      <c r="D970" s="29"/>
      <c r="E970" s="29"/>
      <c r="F970" s="29"/>
      <c r="G970" s="29"/>
      <c r="H970" s="41"/>
      <c r="I970" s="41"/>
      <c r="J970" s="51"/>
      <c r="K970" s="29"/>
      <c r="L970" s="29"/>
      <c r="M970" s="29"/>
      <c r="N970" s="29"/>
      <c r="O970" s="52"/>
      <c r="P970" s="52"/>
      <c r="Q970" s="52"/>
      <c r="R970" s="53"/>
      <c r="S970" s="52"/>
      <c r="T970" s="52"/>
      <c r="U970" s="29"/>
      <c r="V970" s="54"/>
      <c r="W970" s="54"/>
    </row>
    <row r="971" ht="15.75" customHeight="1">
      <c r="A971" s="29"/>
      <c r="B971" s="16"/>
      <c r="C971" s="29"/>
      <c r="D971" s="29"/>
      <c r="E971" s="29"/>
      <c r="F971" s="29"/>
      <c r="G971" s="29"/>
      <c r="H971" s="41"/>
      <c r="I971" s="41"/>
      <c r="J971" s="51"/>
      <c r="K971" s="29"/>
      <c r="L971" s="29"/>
      <c r="M971" s="29"/>
      <c r="N971" s="29"/>
      <c r="O971" s="52"/>
      <c r="P971" s="52"/>
      <c r="Q971" s="52"/>
      <c r="R971" s="53"/>
      <c r="S971" s="52"/>
      <c r="T971" s="52"/>
      <c r="U971" s="29"/>
      <c r="V971" s="54"/>
      <c r="W971" s="54"/>
    </row>
    <row r="972" ht="15.75" customHeight="1">
      <c r="A972" s="29"/>
      <c r="B972" s="16"/>
      <c r="C972" s="29"/>
      <c r="D972" s="29"/>
      <c r="E972" s="29"/>
      <c r="F972" s="29"/>
      <c r="G972" s="29"/>
      <c r="H972" s="41"/>
      <c r="I972" s="41"/>
      <c r="J972" s="51"/>
      <c r="K972" s="29"/>
      <c r="L972" s="29"/>
      <c r="M972" s="29"/>
      <c r="N972" s="29"/>
      <c r="O972" s="52"/>
      <c r="P972" s="52"/>
      <c r="Q972" s="52"/>
      <c r="R972" s="53"/>
      <c r="S972" s="52"/>
      <c r="T972" s="52"/>
      <c r="U972" s="29"/>
      <c r="V972" s="54"/>
      <c r="W972" s="54"/>
    </row>
    <row r="973" ht="15.75" customHeight="1">
      <c r="A973" s="29"/>
      <c r="B973" s="16"/>
      <c r="C973" s="29"/>
      <c r="D973" s="29"/>
      <c r="E973" s="29"/>
      <c r="F973" s="29"/>
      <c r="G973" s="29"/>
      <c r="H973" s="41"/>
      <c r="I973" s="41"/>
      <c r="J973" s="51"/>
      <c r="K973" s="29"/>
      <c r="L973" s="29"/>
      <c r="M973" s="29"/>
      <c r="N973" s="29"/>
      <c r="O973" s="52"/>
      <c r="P973" s="52"/>
      <c r="Q973" s="52"/>
      <c r="R973" s="53"/>
      <c r="S973" s="52"/>
      <c r="T973" s="52"/>
      <c r="U973" s="29"/>
      <c r="V973" s="54"/>
      <c r="W973" s="54"/>
    </row>
    <row r="974" ht="15.75" customHeight="1">
      <c r="A974" s="29"/>
      <c r="B974" s="16"/>
      <c r="C974" s="29"/>
      <c r="D974" s="29"/>
      <c r="E974" s="29"/>
      <c r="F974" s="29"/>
      <c r="G974" s="29"/>
      <c r="H974" s="41"/>
      <c r="I974" s="41"/>
      <c r="J974" s="51"/>
      <c r="K974" s="29"/>
      <c r="L974" s="29"/>
      <c r="M974" s="29"/>
      <c r="N974" s="29"/>
      <c r="O974" s="52"/>
      <c r="P974" s="52"/>
      <c r="Q974" s="52"/>
      <c r="R974" s="53"/>
      <c r="S974" s="52"/>
      <c r="T974" s="52"/>
      <c r="U974" s="29"/>
      <c r="V974" s="54"/>
      <c r="W974" s="54"/>
    </row>
    <row r="975" ht="15.75" customHeight="1">
      <c r="A975" s="29"/>
      <c r="B975" s="16"/>
      <c r="C975" s="29"/>
      <c r="D975" s="29"/>
      <c r="E975" s="29"/>
      <c r="F975" s="29"/>
      <c r="G975" s="29"/>
      <c r="H975" s="41"/>
      <c r="I975" s="41"/>
      <c r="J975" s="51"/>
      <c r="K975" s="29"/>
      <c r="L975" s="29"/>
      <c r="M975" s="29"/>
      <c r="N975" s="29"/>
      <c r="O975" s="52"/>
      <c r="P975" s="52"/>
      <c r="Q975" s="52"/>
      <c r="R975" s="53"/>
      <c r="S975" s="52"/>
      <c r="T975" s="52"/>
      <c r="U975" s="29"/>
      <c r="V975" s="54"/>
      <c r="W975" s="54"/>
    </row>
    <row r="976" ht="15.75" customHeight="1">
      <c r="A976" s="29"/>
      <c r="B976" s="16"/>
      <c r="C976" s="29"/>
      <c r="D976" s="29"/>
      <c r="E976" s="29"/>
      <c r="F976" s="29"/>
      <c r="G976" s="29"/>
      <c r="H976" s="41"/>
      <c r="I976" s="41"/>
      <c r="J976" s="51"/>
      <c r="K976" s="29"/>
      <c r="L976" s="29"/>
      <c r="M976" s="29"/>
      <c r="N976" s="29"/>
      <c r="O976" s="52"/>
      <c r="P976" s="52"/>
      <c r="Q976" s="52"/>
      <c r="R976" s="53"/>
      <c r="S976" s="52"/>
      <c r="T976" s="52"/>
      <c r="U976" s="29"/>
      <c r="V976" s="54"/>
      <c r="W976" s="54"/>
    </row>
    <row r="977" ht="15.75" customHeight="1">
      <c r="A977" s="29"/>
      <c r="B977" s="16"/>
      <c r="C977" s="29"/>
      <c r="D977" s="29"/>
      <c r="E977" s="29"/>
      <c r="F977" s="29"/>
      <c r="G977" s="29"/>
      <c r="H977" s="41"/>
      <c r="I977" s="41"/>
      <c r="J977" s="51"/>
      <c r="K977" s="29"/>
      <c r="L977" s="29"/>
      <c r="M977" s="29"/>
      <c r="N977" s="29"/>
      <c r="O977" s="52"/>
      <c r="P977" s="52"/>
      <c r="Q977" s="52"/>
      <c r="R977" s="53"/>
      <c r="S977" s="52"/>
      <c r="T977" s="52"/>
      <c r="U977" s="29"/>
      <c r="V977" s="54"/>
      <c r="W977" s="54"/>
    </row>
    <row r="978" ht="15.75" customHeight="1">
      <c r="A978" s="29"/>
      <c r="B978" s="16"/>
      <c r="C978" s="29"/>
      <c r="D978" s="29"/>
      <c r="E978" s="29"/>
      <c r="F978" s="29"/>
      <c r="G978" s="29"/>
      <c r="H978" s="41"/>
      <c r="I978" s="41"/>
      <c r="J978" s="51"/>
      <c r="K978" s="29"/>
      <c r="L978" s="29"/>
      <c r="M978" s="29"/>
      <c r="N978" s="29"/>
      <c r="O978" s="52"/>
      <c r="P978" s="52"/>
      <c r="Q978" s="52"/>
      <c r="R978" s="53"/>
      <c r="S978" s="52"/>
      <c r="T978" s="52"/>
      <c r="U978" s="29"/>
      <c r="V978" s="54"/>
      <c r="W978" s="54"/>
    </row>
    <row r="979" ht="15.75" customHeight="1">
      <c r="A979" s="29"/>
      <c r="B979" s="16"/>
      <c r="C979" s="29"/>
      <c r="D979" s="29"/>
      <c r="E979" s="29"/>
      <c r="F979" s="29"/>
      <c r="G979" s="29"/>
      <c r="H979" s="41"/>
      <c r="I979" s="41"/>
      <c r="J979" s="51"/>
      <c r="K979" s="29"/>
      <c r="L979" s="29"/>
      <c r="M979" s="29"/>
      <c r="N979" s="29"/>
      <c r="O979" s="52"/>
      <c r="P979" s="52"/>
      <c r="Q979" s="52"/>
      <c r="R979" s="53"/>
      <c r="S979" s="52"/>
      <c r="T979" s="52"/>
      <c r="U979" s="29"/>
      <c r="V979" s="54"/>
      <c r="W979" s="54"/>
    </row>
    <row r="980" ht="15.75" customHeight="1">
      <c r="A980" s="29"/>
      <c r="B980" s="16"/>
      <c r="C980" s="29"/>
      <c r="D980" s="29"/>
      <c r="E980" s="29"/>
      <c r="F980" s="29"/>
      <c r="G980" s="29"/>
      <c r="H980" s="41"/>
      <c r="I980" s="41"/>
      <c r="J980" s="51"/>
      <c r="K980" s="29"/>
      <c r="L980" s="29"/>
      <c r="M980" s="29"/>
      <c r="N980" s="29"/>
      <c r="O980" s="52"/>
      <c r="P980" s="52"/>
      <c r="Q980" s="52"/>
      <c r="R980" s="53"/>
      <c r="S980" s="52"/>
      <c r="T980" s="52"/>
      <c r="U980" s="29"/>
      <c r="V980" s="54"/>
      <c r="W980" s="54"/>
    </row>
    <row r="981" ht="15.75" customHeight="1">
      <c r="A981" s="29"/>
      <c r="B981" s="16"/>
      <c r="C981" s="29"/>
      <c r="D981" s="29"/>
      <c r="E981" s="29"/>
      <c r="F981" s="29"/>
      <c r="G981" s="29"/>
      <c r="H981" s="41"/>
      <c r="I981" s="41"/>
      <c r="J981" s="51"/>
      <c r="K981" s="29"/>
      <c r="L981" s="29"/>
      <c r="M981" s="29"/>
      <c r="N981" s="29"/>
      <c r="O981" s="52"/>
      <c r="P981" s="52"/>
      <c r="Q981" s="52"/>
      <c r="R981" s="53"/>
      <c r="S981" s="52"/>
      <c r="T981" s="52"/>
      <c r="U981" s="29"/>
      <c r="V981" s="54"/>
      <c r="W981" s="54"/>
    </row>
    <row r="982" ht="15.75" customHeight="1">
      <c r="A982" s="29"/>
      <c r="B982" s="16"/>
      <c r="C982" s="29"/>
      <c r="D982" s="29"/>
      <c r="E982" s="29"/>
      <c r="F982" s="29"/>
      <c r="G982" s="29"/>
      <c r="H982" s="41"/>
      <c r="I982" s="41"/>
      <c r="J982" s="51"/>
      <c r="K982" s="29"/>
      <c r="L982" s="29"/>
      <c r="M982" s="29"/>
      <c r="N982" s="29"/>
      <c r="O982" s="52"/>
      <c r="P982" s="52"/>
      <c r="Q982" s="52"/>
      <c r="R982" s="53"/>
      <c r="S982" s="52"/>
      <c r="T982" s="52"/>
      <c r="U982" s="29"/>
      <c r="V982" s="54"/>
      <c r="W982" s="54"/>
    </row>
    <row r="983" ht="15.75" customHeight="1">
      <c r="A983" s="29"/>
      <c r="B983" s="16"/>
      <c r="C983" s="29"/>
      <c r="D983" s="29"/>
      <c r="E983" s="29"/>
      <c r="F983" s="29"/>
      <c r="G983" s="29"/>
      <c r="H983" s="41"/>
      <c r="I983" s="41"/>
      <c r="J983" s="51"/>
      <c r="K983" s="29"/>
      <c r="L983" s="29"/>
      <c r="M983" s="29"/>
      <c r="N983" s="29"/>
      <c r="O983" s="52"/>
      <c r="P983" s="52"/>
      <c r="Q983" s="52"/>
      <c r="R983" s="53"/>
      <c r="S983" s="52"/>
      <c r="T983" s="52"/>
      <c r="U983" s="29"/>
      <c r="V983" s="54"/>
      <c r="W983" s="54"/>
    </row>
    <row r="984" ht="15.75" customHeight="1">
      <c r="A984" s="29"/>
      <c r="B984" s="16"/>
      <c r="C984" s="29"/>
      <c r="D984" s="29"/>
      <c r="E984" s="29"/>
      <c r="F984" s="29"/>
      <c r="G984" s="29"/>
      <c r="H984" s="41"/>
      <c r="I984" s="41"/>
      <c r="J984" s="51"/>
      <c r="K984" s="29"/>
      <c r="L984" s="29"/>
      <c r="M984" s="29"/>
      <c r="N984" s="29"/>
      <c r="O984" s="52"/>
      <c r="P984" s="52"/>
      <c r="Q984" s="52"/>
      <c r="R984" s="53"/>
      <c r="S984" s="52"/>
      <c r="T984" s="52"/>
      <c r="U984" s="29"/>
      <c r="V984" s="54"/>
      <c r="W984" s="54"/>
    </row>
    <row r="985" ht="15.75" customHeight="1">
      <c r="A985" s="29"/>
      <c r="B985" s="16"/>
      <c r="C985" s="29"/>
      <c r="D985" s="29"/>
      <c r="E985" s="29"/>
      <c r="F985" s="29"/>
      <c r="G985" s="29"/>
      <c r="H985" s="41"/>
      <c r="I985" s="41"/>
      <c r="J985" s="51"/>
      <c r="K985" s="29"/>
      <c r="L985" s="29"/>
      <c r="M985" s="29"/>
      <c r="N985" s="29"/>
      <c r="O985" s="52"/>
      <c r="P985" s="52"/>
      <c r="Q985" s="52"/>
      <c r="R985" s="53"/>
      <c r="S985" s="52"/>
      <c r="T985" s="52"/>
      <c r="U985" s="29"/>
      <c r="V985" s="54"/>
      <c r="W985" s="54"/>
    </row>
    <row r="986" ht="15.75" customHeight="1">
      <c r="A986" s="29"/>
      <c r="B986" s="16"/>
      <c r="C986" s="29"/>
      <c r="D986" s="29"/>
      <c r="E986" s="29"/>
      <c r="F986" s="29"/>
      <c r="G986" s="29"/>
      <c r="H986" s="41"/>
      <c r="I986" s="41"/>
      <c r="J986" s="51"/>
      <c r="K986" s="29"/>
      <c r="L986" s="29"/>
      <c r="M986" s="29"/>
      <c r="N986" s="29"/>
      <c r="O986" s="52"/>
      <c r="P986" s="52"/>
      <c r="Q986" s="52"/>
      <c r="R986" s="53"/>
      <c r="S986" s="52"/>
      <c r="T986" s="52"/>
      <c r="U986" s="29"/>
      <c r="V986" s="54"/>
      <c r="W986" s="54"/>
    </row>
    <row r="987" ht="15.75" customHeight="1">
      <c r="A987" s="29"/>
      <c r="B987" s="16"/>
      <c r="C987" s="29"/>
      <c r="D987" s="29"/>
      <c r="E987" s="29"/>
      <c r="F987" s="29"/>
      <c r="G987" s="29"/>
      <c r="H987" s="41"/>
      <c r="I987" s="41"/>
      <c r="J987" s="51"/>
      <c r="K987" s="29"/>
      <c r="L987" s="29"/>
      <c r="M987" s="29"/>
      <c r="N987" s="29"/>
      <c r="O987" s="52"/>
      <c r="P987" s="52"/>
      <c r="Q987" s="52"/>
      <c r="R987" s="53"/>
      <c r="S987" s="52"/>
      <c r="T987" s="52"/>
      <c r="U987" s="29"/>
      <c r="V987" s="54"/>
      <c r="W987" s="54"/>
    </row>
    <row r="988" ht="15.75" customHeight="1">
      <c r="A988" s="29"/>
      <c r="B988" s="16"/>
      <c r="C988" s="29"/>
      <c r="D988" s="29"/>
      <c r="E988" s="29"/>
      <c r="F988" s="29"/>
      <c r="G988" s="29"/>
      <c r="H988" s="41"/>
      <c r="I988" s="41"/>
      <c r="J988" s="51"/>
      <c r="K988" s="29"/>
      <c r="L988" s="29"/>
      <c r="M988" s="29"/>
      <c r="N988" s="29"/>
      <c r="O988" s="52"/>
      <c r="P988" s="52"/>
      <c r="Q988" s="52"/>
      <c r="R988" s="53"/>
      <c r="S988" s="52"/>
      <c r="T988" s="52"/>
      <c r="U988" s="29"/>
      <c r="V988" s="54"/>
      <c r="W988" s="54"/>
    </row>
    <row r="989" ht="15.75" customHeight="1">
      <c r="A989" s="29"/>
      <c r="B989" s="16"/>
      <c r="C989" s="29"/>
      <c r="D989" s="29"/>
      <c r="E989" s="29"/>
      <c r="F989" s="29"/>
      <c r="G989" s="29"/>
      <c r="H989" s="41"/>
      <c r="I989" s="41"/>
      <c r="J989" s="51"/>
      <c r="K989" s="29"/>
      <c r="L989" s="29"/>
      <c r="M989" s="29"/>
      <c r="N989" s="29"/>
      <c r="O989" s="52"/>
      <c r="P989" s="52"/>
      <c r="Q989" s="52"/>
      <c r="R989" s="53"/>
      <c r="S989" s="52"/>
      <c r="T989" s="52"/>
      <c r="U989" s="29"/>
      <c r="V989" s="54"/>
      <c r="W989" s="54"/>
    </row>
    <row r="990" ht="15.75" customHeight="1">
      <c r="A990" s="29"/>
      <c r="B990" s="16"/>
      <c r="C990" s="29"/>
      <c r="D990" s="29"/>
      <c r="E990" s="29"/>
      <c r="F990" s="29"/>
      <c r="G990" s="29"/>
      <c r="H990" s="41"/>
      <c r="I990" s="41"/>
      <c r="J990" s="51"/>
      <c r="K990" s="29"/>
      <c r="L990" s="29"/>
      <c r="M990" s="29"/>
      <c r="N990" s="29"/>
      <c r="O990" s="52"/>
      <c r="P990" s="52"/>
      <c r="Q990" s="52"/>
      <c r="R990" s="53"/>
      <c r="S990" s="52"/>
      <c r="T990" s="52"/>
      <c r="U990" s="29"/>
      <c r="V990" s="54"/>
      <c r="W990" s="54"/>
    </row>
    <row r="991" ht="15.75" customHeight="1">
      <c r="A991" s="29"/>
      <c r="B991" s="16"/>
      <c r="C991" s="29"/>
      <c r="D991" s="29"/>
      <c r="E991" s="29"/>
      <c r="F991" s="29"/>
      <c r="G991" s="29"/>
      <c r="H991" s="41"/>
      <c r="I991" s="41"/>
      <c r="J991" s="51"/>
      <c r="K991" s="29"/>
      <c r="L991" s="29"/>
      <c r="M991" s="29"/>
      <c r="N991" s="29"/>
      <c r="O991" s="52"/>
      <c r="P991" s="52"/>
      <c r="Q991" s="52"/>
      <c r="R991" s="53"/>
      <c r="S991" s="52"/>
      <c r="T991" s="52"/>
      <c r="U991" s="29"/>
      <c r="V991" s="54"/>
      <c r="W991" s="54"/>
    </row>
    <row r="992" ht="15.75" customHeight="1">
      <c r="A992" s="29"/>
      <c r="B992" s="16"/>
      <c r="C992" s="29"/>
      <c r="D992" s="29"/>
      <c r="E992" s="29"/>
      <c r="F992" s="29"/>
      <c r="G992" s="29"/>
      <c r="H992" s="41"/>
      <c r="I992" s="41"/>
      <c r="J992" s="51"/>
      <c r="K992" s="29"/>
      <c r="L992" s="29"/>
      <c r="M992" s="29"/>
      <c r="N992" s="29"/>
      <c r="O992" s="52"/>
      <c r="P992" s="52"/>
      <c r="Q992" s="52"/>
      <c r="R992" s="53"/>
      <c r="S992" s="52"/>
      <c r="T992" s="52"/>
      <c r="U992" s="29"/>
      <c r="V992" s="54"/>
      <c r="W992" s="54"/>
    </row>
  </sheetData>
  <conditionalFormatting sqref="Q3:Q992 T3:T992">
    <cfRule type="notContainsText" dxfId="0" priority="1" operator="notContains" text="нет">
      <formula>ISERROR(SEARCH(("нет"),(Q3)))</formula>
    </cfRule>
  </conditionalFormatting>
  <dataValidations>
    <dataValidation type="list" allowBlank="1" showErrorMessage="1" sqref="I3:I992">
      <formula1>"нет,1,2,3,4,5,6,7,8,9,10,11,12,13,14,15,16,17,18,19,20"</formula1>
    </dataValidation>
    <dataValidation type="list" allowBlank="1" showErrorMessage="1" sqref="B3:B992">
      <formula1>lib!$A:$A</formula1>
    </dataValidation>
    <dataValidation type="list" allowBlank="1" showErrorMessage="1" sqref="G3:G992">
      <formula1>"П,Р,ПР ФР"</formula1>
    </dataValidation>
    <dataValidation type="list" allowBlank="1" showErrorMessage="1" sqref="C3:C992">
      <formula1>lib!$R$2:$R992</formula1>
    </dataValidation>
    <dataValidation type="list" allowBlank="1" showErrorMessage="1" sqref="A3:A992">
      <formula1>lib!$P$2:$P$7</formula1>
    </dataValidation>
    <dataValidation type="list" allowBlank="1" showErrorMessage="1" sqref="E3:E992">
      <formula1>"Да,Нет,Не норм"</formula1>
    </dataValidation>
    <dataValidation type="list" allowBlank="1" showErrorMessage="1" sqref="H3:H37">
      <formula1>"Типовой,Ярусный,Подзем. паркинг,С подрезками,Техподполье,Первый"</formula1>
    </dataValidation>
    <dataValidation type="list" allowBlank="1" showErrorMessage="1" sqref="U135:U992">
      <formula1>"Да,Нет,Не норм"</formula1>
    </dataValidation>
    <dataValidation type="list" allowBlank="1" showErrorMessage="1" sqref="U3:U134">
      <formula1>"Да,Нет,Не норм"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6.29"/>
  </cols>
  <sheetData>
    <row r="1">
      <c r="A1" s="55" t="s">
        <v>173</v>
      </c>
      <c r="B1" s="55" t="s">
        <v>174</v>
      </c>
    </row>
    <row r="2">
      <c r="A2" s="55">
        <v>1.0</v>
      </c>
      <c r="B2" s="56" t="s">
        <v>175</v>
      </c>
    </row>
    <row r="3">
      <c r="A3" s="55">
        <v>2.0</v>
      </c>
      <c r="B3" s="56" t="s">
        <v>176</v>
      </c>
    </row>
    <row r="4">
      <c r="A4" s="55">
        <v>3.0</v>
      </c>
      <c r="B4" s="56" t="s">
        <v>177</v>
      </c>
    </row>
    <row r="5">
      <c r="A5" s="55">
        <v>4.0</v>
      </c>
      <c r="B5" s="56" t="s">
        <v>178</v>
      </c>
    </row>
    <row r="6">
      <c r="A6" s="55">
        <v>5.0</v>
      </c>
      <c r="B6" s="56" t="s">
        <v>179</v>
      </c>
    </row>
    <row r="7">
      <c r="A7" s="57">
        <v>6.0</v>
      </c>
      <c r="B7" s="58" t="s">
        <v>180</v>
      </c>
    </row>
    <row r="8">
      <c r="A8" s="57">
        <v>7.0</v>
      </c>
      <c r="B8" s="58" t="s">
        <v>181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2.43"/>
    <col customWidth="1" min="2" max="2" width="37.29"/>
    <col customWidth="1" hidden="1" min="3" max="3" width="20.71"/>
    <col customWidth="1" hidden="1" min="4" max="4" width="31.57"/>
    <col customWidth="1" hidden="1" min="5" max="5" width="27.71"/>
  </cols>
  <sheetData>
    <row r="1">
      <c r="A1" s="59" t="s">
        <v>182</v>
      </c>
    </row>
    <row r="2">
      <c r="A2" s="60" t="s">
        <v>183</v>
      </c>
      <c r="B2" s="61" t="s">
        <v>184</v>
      </c>
      <c r="C2" s="61"/>
      <c r="D2" s="61"/>
      <c r="E2" s="61" t="s">
        <v>185</v>
      </c>
    </row>
    <row r="3">
      <c r="A3" s="62"/>
      <c r="B3" s="63" t="s">
        <v>25</v>
      </c>
      <c r="C3" s="64" t="s">
        <v>55</v>
      </c>
      <c r="D3" s="64" t="s">
        <v>166</v>
      </c>
      <c r="E3" s="64"/>
    </row>
    <row r="4">
      <c r="A4" s="65" t="s">
        <v>186</v>
      </c>
      <c r="B4" s="66">
        <v>140.0</v>
      </c>
      <c r="C4" s="66" t="s">
        <v>66</v>
      </c>
      <c r="D4" s="66" t="s">
        <v>66</v>
      </c>
      <c r="E4" s="67"/>
    </row>
    <row r="5">
      <c r="A5" s="68" t="s">
        <v>187</v>
      </c>
      <c r="B5" s="66">
        <v>140.0</v>
      </c>
      <c r="C5" s="66" t="s">
        <v>66</v>
      </c>
      <c r="D5" s="66" t="s">
        <v>66</v>
      </c>
      <c r="E5" s="67"/>
    </row>
    <row r="6">
      <c r="A6" s="65" t="s">
        <v>188</v>
      </c>
      <c r="B6" s="66">
        <v>110.0</v>
      </c>
      <c r="C6" s="66" t="s">
        <v>66</v>
      </c>
      <c r="D6" s="66" t="s">
        <v>66</v>
      </c>
      <c r="E6" s="67"/>
    </row>
    <row r="7">
      <c r="A7" s="68" t="s">
        <v>189</v>
      </c>
      <c r="B7" s="66">
        <v>110.0</v>
      </c>
      <c r="C7" s="66" t="s">
        <v>66</v>
      </c>
      <c r="D7" s="66" t="s">
        <v>66</v>
      </c>
      <c r="E7" s="67"/>
    </row>
    <row r="8">
      <c r="A8" s="65" t="s">
        <v>190</v>
      </c>
      <c r="B8" s="66" t="s">
        <v>66</v>
      </c>
      <c r="C8" s="66" t="s">
        <v>66</v>
      </c>
      <c r="D8" s="66" t="s">
        <v>66</v>
      </c>
      <c r="E8" s="69"/>
    </row>
    <row r="9">
      <c r="A9" s="70" t="s">
        <v>191</v>
      </c>
      <c r="B9" s="66">
        <v>185.0</v>
      </c>
      <c r="C9" s="66" t="s">
        <v>66</v>
      </c>
      <c r="D9" s="66" t="s">
        <v>66</v>
      </c>
      <c r="E9" s="67"/>
    </row>
    <row r="10" ht="79.5" customHeight="1">
      <c r="A10" s="71" t="s">
        <v>192</v>
      </c>
      <c r="B10" s="72">
        <v>200.0</v>
      </c>
      <c r="C10" s="66" t="s">
        <v>66</v>
      </c>
      <c r="D10" s="66" t="s">
        <v>66</v>
      </c>
      <c r="E10" s="69"/>
    </row>
    <row r="11">
      <c r="A11" s="73" t="s">
        <v>193</v>
      </c>
      <c r="B11" s="67">
        <v>140.0</v>
      </c>
      <c r="C11" s="66" t="s">
        <v>66</v>
      </c>
      <c r="D11" s="66" t="s">
        <v>66</v>
      </c>
      <c r="E11" s="67"/>
    </row>
    <row r="12">
      <c r="A12" s="74" t="s">
        <v>194</v>
      </c>
      <c r="B12" s="69">
        <v>170.0</v>
      </c>
      <c r="C12" s="66" t="s">
        <v>66</v>
      </c>
      <c r="D12" s="66" t="s">
        <v>66</v>
      </c>
      <c r="E12" s="69"/>
    </row>
    <row r="13">
      <c r="A13" s="73" t="s">
        <v>195</v>
      </c>
      <c r="B13" s="67">
        <v>115.0</v>
      </c>
      <c r="C13" s="66" t="s">
        <v>66</v>
      </c>
      <c r="D13" s="66" t="s">
        <v>66</v>
      </c>
      <c r="E13" s="67"/>
    </row>
    <row r="14">
      <c r="A14" s="74" t="s">
        <v>196</v>
      </c>
      <c r="B14" s="69">
        <v>160.0</v>
      </c>
      <c r="C14" s="66" t="s">
        <v>66</v>
      </c>
      <c r="D14" s="66" t="s">
        <v>66</v>
      </c>
      <c r="E14" s="69"/>
    </row>
    <row r="15">
      <c r="A15" s="73" t="s">
        <v>197</v>
      </c>
      <c r="B15" s="67">
        <v>115.0</v>
      </c>
      <c r="C15" s="66" t="s">
        <v>66</v>
      </c>
      <c r="D15" s="66" t="s">
        <v>66</v>
      </c>
      <c r="E15" s="67"/>
    </row>
    <row r="16">
      <c r="A16" s="74" t="s">
        <v>198</v>
      </c>
      <c r="B16" s="69">
        <v>125.0</v>
      </c>
      <c r="C16" s="66" t="s">
        <v>66</v>
      </c>
      <c r="D16" s="66" t="s">
        <v>66</v>
      </c>
      <c r="E16" s="69"/>
    </row>
    <row r="17">
      <c r="A17" s="73" t="s">
        <v>199</v>
      </c>
      <c r="B17" s="67">
        <v>115.0</v>
      </c>
      <c r="C17" s="66" t="s">
        <v>66</v>
      </c>
      <c r="D17" s="66" t="s">
        <v>66</v>
      </c>
      <c r="E17" s="67"/>
    </row>
    <row r="18">
      <c r="A18" s="74" t="s">
        <v>200</v>
      </c>
      <c r="B18" s="69">
        <v>250.0</v>
      </c>
      <c r="C18" s="66" t="s">
        <v>66</v>
      </c>
      <c r="D18" s="66" t="s">
        <v>66</v>
      </c>
      <c r="E18" s="69"/>
    </row>
    <row r="19">
      <c r="A19" s="73" t="s">
        <v>201</v>
      </c>
      <c r="B19" s="66" t="s">
        <v>66</v>
      </c>
      <c r="C19" s="66" t="s">
        <v>66</v>
      </c>
      <c r="D19" s="66" t="s">
        <v>66</v>
      </c>
      <c r="E19" s="67"/>
    </row>
    <row r="20">
      <c r="A20" s="75"/>
      <c r="B20" s="76"/>
      <c r="C20" s="76"/>
      <c r="D20" s="76"/>
      <c r="E20" s="77"/>
    </row>
    <row r="21">
      <c r="A21" s="75"/>
      <c r="B21" s="76"/>
      <c r="C21" s="76"/>
      <c r="D21" s="76"/>
      <c r="E21" s="77"/>
    </row>
    <row r="22">
      <c r="A22" s="75"/>
      <c r="B22" s="76"/>
      <c r="C22" s="76"/>
      <c r="D22" s="76"/>
      <c r="E22" s="77"/>
    </row>
    <row r="23">
      <c r="A23" s="75"/>
      <c r="B23" s="76"/>
      <c r="C23" s="76"/>
      <c r="D23" s="76"/>
      <c r="E23" s="77"/>
    </row>
    <row r="24">
      <c r="A24" s="75"/>
      <c r="B24" s="76"/>
      <c r="C24" s="76"/>
      <c r="D24" s="76"/>
      <c r="E24" s="77"/>
    </row>
    <row r="25">
      <c r="A25" s="75"/>
      <c r="B25" s="76"/>
      <c r="C25" s="76"/>
      <c r="D25" s="76"/>
      <c r="E25" s="77"/>
    </row>
    <row r="26">
      <c r="A26" s="75"/>
      <c r="B26" s="76"/>
      <c r="C26" s="76"/>
      <c r="D26" s="76"/>
      <c r="E26" s="77"/>
    </row>
    <row r="27">
      <c r="A27" s="75"/>
      <c r="B27" s="76"/>
      <c r="C27" s="76"/>
      <c r="D27" s="76"/>
      <c r="E27" s="77"/>
    </row>
    <row r="28">
      <c r="A28" s="75"/>
      <c r="B28" s="76"/>
      <c r="C28" s="76"/>
      <c r="D28" s="76"/>
      <c r="E28" s="77"/>
    </row>
    <row r="29">
      <c r="A29" s="75"/>
      <c r="B29" s="76"/>
      <c r="C29" s="76"/>
      <c r="D29" s="76"/>
      <c r="E29" s="77"/>
    </row>
    <row r="30">
      <c r="A30" s="75"/>
      <c r="B30" s="76"/>
      <c r="C30" s="76"/>
      <c r="D30" s="76"/>
      <c r="E30" s="77"/>
    </row>
    <row r="31">
      <c r="A31" s="75"/>
      <c r="B31" s="76"/>
      <c r="C31" s="76"/>
      <c r="D31" s="76"/>
      <c r="E31" s="77"/>
    </row>
    <row r="32">
      <c r="A32" s="75"/>
      <c r="B32" s="76"/>
      <c r="C32" s="76"/>
      <c r="D32" s="76"/>
      <c r="E32" s="77"/>
    </row>
    <row r="33">
      <c r="A33" s="75"/>
      <c r="B33" s="76"/>
      <c r="C33" s="76"/>
      <c r="D33" s="76"/>
      <c r="E33" s="77"/>
    </row>
    <row r="34">
      <c r="A34" s="75"/>
      <c r="B34" s="76"/>
      <c r="C34" s="76"/>
      <c r="D34" s="76"/>
      <c r="E34" s="77"/>
    </row>
    <row r="35">
      <c r="A35" s="75"/>
      <c r="B35" s="76"/>
      <c r="C35" s="76"/>
      <c r="D35" s="76"/>
      <c r="E35" s="77"/>
    </row>
    <row r="36">
      <c r="A36" s="75"/>
      <c r="B36" s="76"/>
      <c r="C36" s="76"/>
      <c r="D36" s="76"/>
      <c r="E36" s="77"/>
    </row>
    <row r="37">
      <c r="A37" s="75"/>
      <c r="B37" s="76"/>
      <c r="C37" s="76"/>
      <c r="D37" s="76"/>
      <c r="E37" s="77"/>
    </row>
    <row r="38">
      <c r="A38" s="75"/>
      <c r="B38" s="76"/>
      <c r="C38" s="76"/>
      <c r="D38" s="76"/>
      <c r="E38" s="77"/>
    </row>
    <row r="39">
      <c r="A39" s="75"/>
      <c r="B39" s="76"/>
      <c r="C39" s="76"/>
      <c r="D39" s="76"/>
      <c r="E39" s="77"/>
    </row>
    <row r="40">
      <c r="A40" s="75"/>
      <c r="B40" s="76"/>
      <c r="C40" s="76"/>
      <c r="D40" s="76"/>
      <c r="E40" s="77"/>
    </row>
    <row r="41">
      <c r="A41" s="75"/>
      <c r="B41" s="76"/>
      <c r="C41" s="76"/>
      <c r="D41" s="76"/>
      <c r="E41" s="77"/>
    </row>
    <row r="42">
      <c r="A42" s="75"/>
      <c r="B42" s="76"/>
      <c r="C42" s="76"/>
      <c r="D42" s="76"/>
      <c r="E42" s="77"/>
    </row>
    <row r="43">
      <c r="A43" s="75"/>
      <c r="B43" s="76"/>
      <c r="C43" s="76"/>
      <c r="D43" s="76"/>
      <c r="E43" s="77"/>
    </row>
    <row r="44">
      <c r="A44" s="75"/>
      <c r="B44" s="76"/>
      <c r="C44" s="76"/>
      <c r="D44" s="76"/>
      <c r="E44" s="77"/>
    </row>
    <row r="45">
      <c r="A45" s="75"/>
      <c r="B45" s="76"/>
      <c r="C45" s="76"/>
      <c r="D45" s="76"/>
      <c r="E45" s="77"/>
    </row>
    <row r="46">
      <c r="A46" s="75"/>
      <c r="B46" s="76"/>
      <c r="C46" s="76"/>
      <c r="D46" s="76"/>
      <c r="E46" s="77"/>
    </row>
    <row r="47">
      <c r="A47" s="75"/>
      <c r="B47" s="76"/>
      <c r="C47" s="76"/>
      <c r="D47" s="76"/>
      <c r="E47" s="77"/>
    </row>
    <row r="48">
      <c r="A48" s="75"/>
      <c r="B48" s="76"/>
      <c r="C48" s="76"/>
      <c r="D48" s="76"/>
      <c r="E48" s="77"/>
    </row>
    <row r="49">
      <c r="A49" s="75"/>
      <c r="B49" s="76"/>
      <c r="C49" s="76"/>
      <c r="D49" s="76"/>
      <c r="E49" s="77"/>
    </row>
    <row r="50">
      <c r="A50" s="75"/>
      <c r="B50" s="76"/>
      <c r="C50" s="76"/>
      <c r="D50" s="76"/>
      <c r="E50" s="77"/>
    </row>
    <row r="51">
      <c r="A51" s="75"/>
      <c r="B51" s="76"/>
      <c r="C51" s="76"/>
      <c r="D51" s="76"/>
      <c r="E51" s="77"/>
    </row>
    <row r="52">
      <c r="A52" s="75"/>
      <c r="B52" s="76"/>
      <c r="C52" s="76"/>
      <c r="D52" s="76"/>
      <c r="E52" s="77"/>
    </row>
    <row r="53">
      <c r="A53" s="75"/>
      <c r="B53" s="76"/>
      <c r="C53" s="76"/>
      <c r="D53" s="76"/>
      <c r="E53" s="77"/>
    </row>
    <row r="54">
      <c r="A54" s="75"/>
      <c r="B54" s="76"/>
      <c r="C54" s="76"/>
      <c r="D54" s="76"/>
      <c r="E54" s="77"/>
    </row>
    <row r="55">
      <c r="A55" s="75"/>
      <c r="B55" s="76"/>
      <c r="C55" s="76"/>
      <c r="D55" s="76"/>
      <c r="E55" s="77"/>
    </row>
    <row r="56">
      <c r="A56" s="75"/>
      <c r="B56" s="76"/>
      <c r="C56" s="76"/>
      <c r="D56" s="76"/>
      <c r="E56" s="77"/>
    </row>
    <row r="57">
      <c r="A57" s="75"/>
      <c r="B57" s="76"/>
      <c r="C57" s="76"/>
      <c r="D57" s="76"/>
      <c r="E57" s="77"/>
    </row>
    <row r="58">
      <c r="A58" s="75"/>
      <c r="B58" s="76"/>
      <c r="C58" s="76"/>
      <c r="D58" s="76"/>
      <c r="E58" s="77"/>
    </row>
    <row r="59">
      <c r="A59" s="75"/>
      <c r="B59" s="76"/>
      <c r="C59" s="76"/>
      <c r="D59" s="76"/>
      <c r="E59" s="77"/>
    </row>
    <row r="60">
      <c r="A60" s="75"/>
      <c r="B60" s="76"/>
      <c r="C60" s="76"/>
      <c r="D60" s="76"/>
      <c r="E60" s="77"/>
    </row>
    <row r="61">
      <c r="A61" s="75"/>
      <c r="B61" s="76"/>
      <c r="C61" s="76"/>
      <c r="D61" s="76"/>
      <c r="E61" s="77"/>
    </row>
    <row r="62">
      <c r="A62" s="75"/>
      <c r="B62" s="76"/>
      <c r="C62" s="76"/>
      <c r="D62" s="76"/>
      <c r="E62" s="77"/>
    </row>
    <row r="63">
      <c r="A63" s="75"/>
      <c r="B63" s="76"/>
      <c r="C63" s="76"/>
      <c r="D63" s="76"/>
      <c r="E63" s="77"/>
    </row>
    <row r="64">
      <c r="A64" s="75"/>
      <c r="B64" s="76"/>
      <c r="C64" s="76"/>
      <c r="D64" s="76"/>
      <c r="E64" s="77"/>
    </row>
    <row r="65">
      <c r="A65" s="75"/>
      <c r="B65" s="76"/>
      <c r="C65" s="76"/>
      <c r="D65" s="76"/>
      <c r="E65" s="77"/>
    </row>
    <row r="66">
      <c r="A66" s="75"/>
      <c r="B66" s="76"/>
      <c r="C66" s="76"/>
      <c r="D66" s="76"/>
      <c r="E66" s="77"/>
    </row>
    <row r="67">
      <c r="A67" s="75"/>
      <c r="B67" s="76"/>
      <c r="C67" s="76"/>
      <c r="D67" s="76"/>
      <c r="E67" s="77"/>
    </row>
    <row r="68">
      <c r="A68" s="75"/>
      <c r="B68" s="76"/>
      <c r="C68" s="76"/>
      <c r="D68" s="76"/>
      <c r="E68" s="77"/>
    </row>
    <row r="69">
      <c r="A69" s="75"/>
      <c r="B69" s="76"/>
      <c r="C69" s="76"/>
      <c r="D69" s="76"/>
      <c r="E69" s="77"/>
    </row>
    <row r="70">
      <c r="A70" s="75"/>
      <c r="B70" s="76"/>
      <c r="C70" s="76"/>
      <c r="D70" s="76"/>
      <c r="E70" s="77"/>
    </row>
    <row r="71">
      <c r="A71" s="75"/>
      <c r="B71" s="76"/>
      <c r="C71" s="76"/>
      <c r="D71" s="76"/>
      <c r="E71" s="77"/>
    </row>
    <row r="72">
      <c r="A72" s="75"/>
      <c r="B72" s="76"/>
      <c r="C72" s="76"/>
      <c r="D72" s="76"/>
      <c r="E72" s="77"/>
    </row>
    <row r="73">
      <c r="A73" s="75"/>
      <c r="B73" s="76"/>
      <c r="C73" s="76"/>
      <c r="D73" s="76"/>
      <c r="E73" s="77"/>
    </row>
    <row r="74">
      <c r="A74" s="75"/>
      <c r="B74" s="76"/>
      <c r="C74" s="76"/>
      <c r="D74" s="76"/>
      <c r="E74" s="77"/>
    </row>
    <row r="75">
      <c r="A75" s="75"/>
      <c r="B75" s="76"/>
      <c r="C75" s="76"/>
      <c r="D75" s="76"/>
      <c r="E75" s="77"/>
    </row>
    <row r="76">
      <c r="A76" s="75"/>
      <c r="B76" s="76"/>
      <c r="C76" s="76"/>
      <c r="D76" s="76"/>
      <c r="E76" s="77"/>
    </row>
    <row r="77">
      <c r="A77" s="75"/>
      <c r="B77" s="76"/>
      <c r="C77" s="76"/>
      <c r="D77" s="76"/>
      <c r="E77" s="77"/>
    </row>
    <row r="78">
      <c r="A78" s="75"/>
      <c r="B78" s="76"/>
      <c r="C78" s="76"/>
      <c r="D78" s="76"/>
      <c r="E78" s="77"/>
    </row>
    <row r="79">
      <c r="A79" s="75"/>
      <c r="B79" s="76"/>
      <c r="C79" s="76"/>
      <c r="D79" s="76"/>
      <c r="E79" s="77"/>
    </row>
    <row r="80">
      <c r="A80" s="75"/>
      <c r="B80" s="76"/>
      <c r="C80" s="76"/>
      <c r="D80" s="76"/>
      <c r="E80" s="77"/>
    </row>
    <row r="81">
      <c r="A81" s="75"/>
      <c r="B81" s="76"/>
      <c r="C81" s="76"/>
      <c r="D81" s="76"/>
      <c r="E81" s="77"/>
    </row>
    <row r="82">
      <c r="A82" s="75"/>
      <c r="B82" s="76"/>
      <c r="C82" s="76"/>
      <c r="D82" s="76"/>
      <c r="E82" s="77"/>
    </row>
    <row r="83">
      <c r="A83" s="75"/>
      <c r="B83" s="76"/>
      <c r="C83" s="76"/>
      <c r="D83" s="76"/>
      <c r="E83" s="77"/>
    </row>
    <row r="84">
      <c r="A84" s="75"/>
      <c r="B84" s="76"/>
      <c r="C84" s="76"/>
      <c r="D84" s="76"/>
      <c r="E84" s="77"/>
    </row>
    <row r="85">
      <c r="A85" s="75"/>
      <c r="B85" s="76"/>
      <c r="C85" s="76"/>
      <c r="D85" s="76"/>
      <c r="E85" s="77"/>
    </row>
    <row r="86">
      <c r="A86" s="75"/>
      <c r="B86" s="76"/>
      <c r="C86" s="76"/>
      <c r="D86" s="76"/>
      <c r="E86" s="77"/>
    </row>
    <row r="87">
      <c r="A87" s="75"/>
      <c r="B87" s="76"/>
      <c r="C87" s="76"/>
      <c r="D87" s="76"/>
      <c r="E87" s="77"/>
    </row>
    <row r="88">
      <c r="A88" s="75"/>
      <c r="B88" s="76"/>
      <c r="C88" s="76"/>
      <c r="D88" s="76"/>
      <c r="E88" s="77"/>
    </row>
    <row r="89">
      <c r="A89" s="75"/>
      <c r="B89" s="76"/>
      <c r="C89" s="76"/>
      <c r="D89" s="76"/>
      <c r="E89" s="77"/>
    </row>
    <row r="90">
      <c r="A90" s="75"/>
      <c r="B90" s="76"/>
      <c r="C90" s="76"/>
      <c r="D90" s="76"/>
      <c r="E90" s="77"/>
    </row>
    <row r="91">
      <c r="A91" s="75"/>
      <c r="B91" s="76"/>
      <c r="C91" s="76"/>
      <c r="D91" s="76"/>
      <c r="E91" s="77"/>
    </row>
    <row r="92">
      <c r="A92" s="75"/>
      <c r="B92" s="76"/>
      <c r="C92" s="76"/>
      <c r="D92" s="76"/>
      <c r="E92" s="77"/>
    </row>
    <row r="93">
      <c r="A93" s="75"/>
      <c r="B93" s="76"/>
      <c r="C93" s="76"/>
      <c r="D93" s="76"/>
      <c r="E93" s="77"/>
    </row>
    <row r="94">
      <c r="A94" s="75"/>
      <c r="B94" s="76"/>
      <c r="C94" s="76"/>
      <c r="D94" s="76"/>
      <c r="E94" s="77"/>
    </row>
    <row r="95">
      <c r="A95" s="75"/>
      <c r="B95" s="76"/>
      <c r="C95" s="76"/>
      <c r="D95" s="76"/>
      <c r="E95" s="77"/>
    </row>
    <row r="96">
      <c r="A96" s="75"/>
      <c r="B96" s="76"/>
      <c r="C96" s="76"/>
      <c r="D96" s="76"/>
      <c r="E96" s="77"/>
    </row>
    <row r="97">
      <c r="A97" s="75"/>
      <c r="B97" s="76"/>
      <c r="C97" s="76"/>
      <c r="D97" s="76"/>
      <c r="E97" s="77"/>
    </row>
    <row r="98">
      <c r="A98" s="75"/>
      <c r="B98" s="76"/>
      <c r="C98" s="76"/>
      <c r="D98" s="76"/>
      <c r="E98" s="77"/>
    </row>
    <row r="99">
      <c r="A99" s="75"/>
      <c r="B99" s="76"/>
      <c r="C99" s="76"/>
      <c r="D99" s="76"/>
      <c r="E99" s="77"/>
    </row>
    <row r="100">
      <c r="A100" s="75"/>
      <c r="B100" s="76"/>
      <c r="C100" s="76"/>
      <c r="D100" s="76"/>
      <c r="E100" s="77"/>
    </row>
    <row r="101">
      <c r="A101" s="75"/>
      <c r="B101" s="76"/>
      <c r="C101" s="76"/>
      <c r="D101" s="76"/>
      <c r="E101" s="77"/>
    </row>
    <row r="102">
      <c r="A102" s="75"/>
      <c r="B102" s="76"/>
      <c r="C102" s="76"/>
      <c r="D102" s="76"/>
      <c r="E102" s="77"/>
    </row>
    <row r="103">
      <c r="A103" s="75"/>
      <c r="B103" s="76"/>
      <c r="C103" s="76"/>
      <c r="D103" s="76"/>
      <c r="E103" s="77"/>
    </row>
    <row r="104">
      <c r="A104" s="75"/>
      <c r="B104" s="76"/>
      <c r="C104" s="76"/>
      <c r="D104" s="76"/>
      <c r="E104" s="77"/>
    </row>
    <row r="105">
      <c r="A105" s="75"/>
      <c r="B105" s="76"/>
      <c r="C105" s="76"/>
      <c r="D105" s="76"/>
      <c r="E105" s="77"/>
    </row>
    <row r="106">
      <c r="A106" s="75"/>
      <c r="B106" s="76"/>
      <c r="C106" s="76"/>
      <c r="D106" s="76"/>
      <c r="E106" s="77"/>
    </row>
    <row r="107">
      <c r="A107" s="75"/>
      <c r="B107" s="76"/>
      <c r="C107" s="76"/>
      <c r="D107" s="76"/>
      <c r="E107" s="77"/>
    </row>
    <row r="108">
      <c r="A108" s="75"/>
      <c r="B108" s="76"/>
      <c r="C108" s="76"/>
      <c r="D108" s="76"/>
      <c r="E108" s="77"/>
    </row>
    <row r="109">
      <c r="A109" s="75"/>
      <c r="B109" s="76"/>
      <c r="C109" s="76"/>
      <c r="D109" s="76"/>
      <c r="E109" s="77"/>
    </row>
    <row r="110">
      <c r="A110" s="75"/>
      <c r="B110" s="76"/>
      <c r="C110" s="76"/>
      <c r="D110" s="76"/>
      <c r="E110" s="77"/>
    </row>
    <row r="111">
      <c r="A111" s="75"/>
      <c r="B111" s="76"/>
      <c r="C111" s="76"/>
      <c r="D111" s="76"/>
      <c r="E111" s="77"/>
    </row>
    <row r="112">
      <c r="A112" s="75"/>
      <c r="B112" s="76"/>
      <c r="C112" s="76"/>
      <c r="D112" s="76"/>
      <c r="E112" s="77"/>
    </row>
    <row r="113">
      <c r="A113" s="75"/>
      <c r="B113" s="76"/>
      <c r="C113" s="76"/>
      <c r="D113" s="76"/>
      <c r="E113" s="77"/>
    </row>
    <row r="114">
      <c r="A114" s="75"/>
      <c r="B114" s="76"/>
      <c r="C114" s="76"/>
      <c r="D114" s="76"/>
      <c r="E114" s="77"/>
    </row>
    <row r="115">
      <c r="A115" s="75"/>
      <c r="B115" s="76"/>
      <c r="C115" s="76"/>
      <c r="D115" s="76"/>
      <c r="E115" s="77"/>
    </row>
    <row r="116">
      <c r="A116" s="75"/>
      <c r="B116" s="76"/>
      <c r="C116" s="76"/>
      <c r="D116" s="76"/>
      <c r="E116" s="77"/>
    </row>
    <row r="117">
      <c r="A117" s="75"/>
      <c r="B117" s="76"/>
      <c r="C117" s="76"/>
      <c r="D117" s="76"/>
      <c r="E117" s="77"/>
    </row>
    <row r="118">
      <c r="A118" s="75"/>
      <c r="B118" s="76"/>
      <c r="C118" s="76"/>
      <c r="D118" s="76"/>
      <c r="E118" s="77"/>
    </row>
    <row r="119">
      <c r="A119" s="75"/>
      <c r="B119" s="76"/>
      <c r="C119" s="76"/>
      <c r="D119" s="76"/>
      <c r="E119" s="77"/>
    </row>
    <row r="120">
      <c r="A120" s="75"/>
      <c r="B120" s="76"/>
      <c r="C120" s="76"/>
      <c r="D120" s="76"/>
      <c r="E120" s="77"/>
    </row>
    <row r="121">
      <c r="A121" s="75"/>
      <c r="B121" s="76"/>
      <c r="C121" s="76"/>
      <c r="D121" s="76"/>
      <c r="E121" s="77"/>
    </row>
    <row r="122">
      <c r="A122" s="75"/>
      <c r="B122" s="76"/>
      <c r="C122" s="76"/>
      <c r="D122" s="76"/>
      <c r="E122" s="77"/>
    </row>
    <row r="123">
      <c r="A123" s="75"/>
      <c r="B123" s="76"/>
      <c r="C123" s="76"/>
      <c r="D123" s="76"/>
      <c r="E123" s="77"/>
    </row>
    <row r="124">
      <c r="A124" s="75"/>
      <c r="B124" s="76"/>
      <c r="C124" s="76"/>
      <c r="D124" s="76"/>
      <c r="E124" s="77"/>
    </row>
    <row r="125">
      <c r="A125" s="75"/>
      <c r="B125" s="76"/>
      <c r="C125" s="76"/>
      <c r="D125" s="76"/>
      <c r="E125" s="77"/>
    </row>
    <row r="126">
      <c r="A126" s="75"/>
      <c r="B126" s="76"/>
      <c r="C126" s="76"/>
      <c r="D126" s="76"/>
      <c r="E126" s="77"/>
    </row>
    <row r="127">
      <c r="A127" s="75"/>
      <c r="B127" s="76"/>
      <c r="C127" s="76"/>
      <c r="D127" s="76"/>
      <c r="E127" s="77"/>
    </row>
    <row r="128">
      <c r="A128" s="75"/>
      <c r="B128" s="76"/>
      <c r="C128" s="76"/>
      <c r="D128" s="76"/>
      <c r="E128" s="77"/>
    </row>
    <row r="129">
      <c r="A129" s="75"/>
      <c r="B129" s="76"/>
      <c r="C129" s="76"/>
      <c r="D129" s="76"/>
      <c r="E129" s="77"/>
    </row>
    <row r="130">
      <c r="A130" s="75"/>
      <c r="B130" s="76"/>
      <c r="C130" s="76"/>
      <c r="D130" s="76"/>
      <c r="E130" s="77"/>
    </row>
    <row r="131">
      <c r="A131" s="75"/>
      <c r="B131" s="76"/>
      <c r="C131" s="76"/>
      <c r="D131" s="76"/>
      <c r="E131" s="77"/>
    </row>
    <row r="132">
      <c r="A132" s="75"/>
      <c r="B132" s="76"/>
      <c r="C132" s="76"/>
      <c r="D132" s="76"/>
      <c r="E132" s="77"/>
    </row>
    <row r="133">
      <c r="A133" s="75"/>
      <c r="B133" s="76"/>
      <c r="C133" s="76"/>
      <c r="D133" s="76"/>
      <c r="E133" s="77"/>
    </row>
    <row r="134">
      <c r="A134" s="75"/>
      <c r="B134" s="76"/>
      <c r="C134" s="76"/>
      <c r="D134" s="76"/>
      <c r="E134" s="77"/>
    </row>
    <row r="135">
      <c r="A135" s="75"/>
      <c r="B135" s="76"/>
      <c r="C135" s="76"/>
      <c r="D135" s="76"/>
      <c r="E135" s="77"/>
    </row>
    <row r="136">
      <c r="A136" s="75"/>
      <c r="B136" s="76"/>
      <c r="C136" s="76"/>
      <c r="D136" s="76"/>
      <c r="E136" s="77"/>
    </row>
    <row r="137">
      <c r="A137" s="75"/>
      <c r="B137" s="76"/>
      <c r="C137" s="76"/>
      <c r="D137" s="76"/>
      <c r="E137" s="77"/>
    </row>
    <row r="138">
      <c r="A138" s="75"/>
      <c r="B138" s="76"/>
      <c r="C138" s="76"/>
      <c r="D138" s="76"/>
      <c r="E138" s="77"/>
    </row>
    <row r="139">
      <c r="A139" s="75"/>
      <c r="B139" s="76"/>
      <c r="C139" s="76"/>
      <c r="D139" s="76"/>
      <c r="E139" s="77"/>
    </row>
    <row r="140">
      <c r="A140" s="75"/>
      <c r="B140" s="76"/>
      <c r="C140" s="76"/>
      <c r="D140" s="76"/>
      <c r="E140" s="77"/>
    </row>
    <row r="141">
      <c r="A141" s="75"/>
      <c r="B141" s="76"/>
      <c r="C141" s="76"/>
      <c r="D141" s="76"/>
      <c r="E141" s="77"/>
    </row>
    <row r="142">
      <c r="A142" s="75"/>
      <c r="B142" s="76"/>
      <c r="C142" s="76"/>
      <c r="D142" s="76"/>
      <c r="E142" s="77"/>
    </row>
    <row r="143">
      <c r="A143" s="75"/>
      <c r="B143" s="76"/>
      <c r="C143" s="76"/>
      <c r="D143" s="76"/>
      <c r="E143" s="77"/>
    </row>
    <row r="144">
      <c r="A144" s="75"/>
      <c r="B144" s="76"/>
      <c r="C144" s="76"/>
      <c r="D144" s="76"/>
      <c r="E144" s="77"/>
    </row>
    <row r="145">
      <c r="A145" s="75"/>
      <c r="B145" s="76"/>
      <c r="C145" s="76"/>
      <c r="D145" s="76"/>
      <c r="E145" s="77"/>
    </row>
    <row r="146">
      <c r="A146" s="75"/>
      <c r="B146" s="76"/>
      <c r="C146" s="76"/>
      <c r="D146" s="76"/>
      <c r="E146" s="77"/>
    </row>
    <row r="147">
      <c r="A147" s="75"/>
      <c r="B147" s="76"/>
      <c r="C147" s="76"/>
      <c r="D147" s="76"/>
      <c r="E147" s="77"/>
    </row>
    <row r="148">
      <c r="A148" s="75"/>
      <c r="B148" s="76"/>
      <c r="C148" s="76"/>
      <c r="D148" s="76"/>
      <c r="E148" s="77"/>
    </row>
    <row r="149">
      <c r="A149" s="75"/>
      <c r="B149" s="76"/>
      <c r="C149" s="76"/>
      <c r="D149" s="76"/>
      <c r="E149" s="77"/>
    </row>
    <row r="150">
      <c r="A150" s="75"/>
      <c r="B150" s="76"/>
      <c r="C150" s="76"/>
      <c r="D150" s="76"/>
      <c r="E150" s="77"/>
    </row>
    <row r="151">
      <c r="A151" s="75"/>
      <c r="B151" s="76"/>
      <c r="C151" s="76"/>
      <c r="D151" s="76"/>
      <c r="E151" s="77"/>
    </row>
    <row r="152">
      <c r="A152" s="75"/>
      <c r="B152" s="76"/>
      <c r="C152" s="76"/>
      <c r="D152" s="76"/>
      <c r="E152" s="77"/>
    </row>
    <row r="153">
      <c r="A153" s="75"/>
      <c r="B153" s="76"/>
      <c r="C153" s="76"/>
      <c r="D153" s="76"/>
      <c r="E153" s="77"/>
    </row>
    <row r="154">
      <c r="A154" s="75"/>
      <c r="B154" s="76"/>
      <c r="C154" s="76"/>
      <c r="D154" s="76"/>
      <c r="E154" s="77"/>
    </row>
    <row r="155">
      <c r="A155" s="75"/>
      <c r="B155" s="76"/>
      <c r="C155" s="76"/>
      <c r="D155" s="76"/>
      <c r="E155" s="77"/>
    </row>
    <row r="156">
      <c r="A156" s="75"/>
      <c r="B156" s="76"/>
      <c r="C156" s="76"/>
      <c r="D156" s="76"/>
      <c r="E156" s="77"/>
    </row>
    <row r="157">
      <c r="A157" s="75"/>
      <c r="B157" s="76"/>
      <c r="C157" s="76"/>
      <c r="D157" s="76"/>
      <c r="E157" s="77"/>
    </row>
    <row r="158">
      <c r="A158" s="75"/>
      <c r="B158" s="76"/>
      <c r="C158" s="76"/>
      <c r="D158" s="76"/>
      <c r="E158" s="77"/>
    </row>
    <row r="159">
      <c r="A159" s="75"/>
      <c r="B159" s="76"/>
      <c r="C159" s="76"/>
      <c r="D159" s="76"/>
      <c r="E159" s="77"/>
    </row>
    <row r="160">
      <c r="A160" s="75"/>
      <c r="B160" s="76"/>
      <c r="C160" s="76"/>
      <c r="D160" s="76"/>
      <c r="E160" s="77"/>
    </row>
    <row r="161">
      <c r="A161" s="75"/>
      <c r="B161" s="76"/>
      <c r="C161" s="76"/>
      <c r="D161" s="76"/>
      <c r="E161" s="77"/>
    </row>
    <row r="162">
      <c r="A162" s="75"/>
      <c r="B162" s="76"/>
      <c r="C162" s="76"/>
      <c r="D162" s="76"/>
      <c r="E162" s="77"/>
    </row>
    <row r="163">
      <c r="A163" s="75"/>
      <c r="B163" s="76"/>
      <c r="C163" s="76"/>
      <c r="D163" s="76"/>
      <c r="E163" s="77"/>
    </row>
    <row r="164">
      <c r="A164" s="75"/>
      <c r="B164" s="76"/>
      <c r="C164" s="76"/>
      <c r="D164" s="76"/>
      <c r="E164" s="77"/>
    </row>
    <row r="165">
      <c r="A165" s="75"/>
      <c r="B165" s="76"/>
      <c r="C165" s="76"/>
      <c r="D165" s="76"/>
      <c r="E165" s="77"/>
    </row>
    <row r="166">
      <c r="A166" s="75"/>
      <c r="B166" s="76"/>
      <c r="C166" s="76"/>
      <c r="D166" s="76"/>
      <c r="E166" s="77"/>
    </row>
    <row r="167">
      <c r="A167" s="75"/>
      <c r="B167" s="76"/>
      <c r="C167" s="76"/>
      <c r="D167" s="76"/>
      <c r="E167" s="77"/>
    </row>
    <row r="168">
      <c r="A168" s="75"/>
      <c r="B168" s="76"/>
      <c r="C168" s="76"/>
      <c r="D168" s="76"/>
      <c r="E168" s="77"/>
    </row>
    <row r="169">
      <c r="A169" s="75"/>
      <c r="B169" s="76"/>
      <c r="C169" s="76"/>
      <c r="D169" s="76"/>
      <c r="E169" s="77"/>
    </row>
    <row r="170">
      <c r="A170" s="75"/>
      <c r="B170" s="76"/>
      <c r="C170" s="76"/>
      <c r="D170" s="76"/>
      <c r="E170" s="77"/>
    </row>
    <row r="171">
      <c r="A171" s="75"/>
      <c r="B171" s="76"/>
      <c r="C171" s="76"/>
      <c r="D171" s="76"/>
      <c r="E171" s="77"/>
    </row>
    <row r="172">
      <c r="A172" s="75"/>
      <c r="B172" s="76"/>
      <c r="C172" s="76"/>
      <c r="D172" s="76"/>
      <c r="E172" s="77"/>
    </row>
    <row r="173">
      <c r="A173" s="75"/>
      <c r="B173" s="76"/>
      <c r="C173" s="76"/>
      <c r="D173" s="76"/>
      <c r="E173" s="77"/>
    </row>
    <row r="174">
      <c r="A174" s="75"/>
      <c r="B174" s="76"/>
      <c r="C174" s="76"/>
      <c r="D174" s="76"/>
      <c r="E174" s="77"/>
    </row>
    <row r="175">
      <c r="A175" s="75"/>
      <c r="B175" s="76"/>
      <c r="C175" s="76"/>
      <c r="D175" s="76"/>
      <c r="E175" s="77"/>
    </row>
    <row r="176">
      <c r="A176" s="75"/>
      <c r="B176" s="76"/>
      <c r="C176" s="76"/>
      <c r="D176" s="76"/>
      <c r="E176" s="77"/>
    </row>
    <row r="177">
      <c r="A177" s="75"/>
      <c r="B177" s="76"/>
      <c r="C177" s="76"/>
      <c r="D177" s="76"/>
      <c r="E177" s="77"/>
    </row>
    <row r="178">
      <c r="A178" s="75"/>
      <c r="B178" s="76"/>
      <c r="C178" s="76"/>
      <c r="D178" s="76"/>
      <c r="E178" s="77"/>
    </row>
    <row r="179">
      <c r="A179" s="75"/>
      <c r="B179" s="76"/>
      <c r="C179" s="76"/>
      <c r="D179" s="76"/>
      <c r="E179" s="77"/>
    </row>
    <row r="180">
      <c r="A180" s="75"/>
      <c r="B180" s="76"/>
      <c r="C180" s="76"/>
      <c r="D180" s="76"/>
      <c r="E180" s="77"/>
    </row>
    <row r="181">
      <c r="A181" s="75"/>
      <c r="B181" s="76"/>
      <c r="C181" s="76"/>
      <c r="D181" s="76"/>
      <c r="E181" s="77"/>
    </row>
    <row r="182">
      <c r="A182" s="75"/>
      <c r="B182" s="76"/>
      <c r="C182" s="76"/>
      <c r="D182" s="76"/>
      <c r="E182" s="77"/>
    </row>
    <row r="183">
      <c r="A183" s="75"/>
      <c r="B183" s="76"/>
      <c r="C183" s="76"/>
      <c r="D183" s="76"/>
      <c r="E183" s="77"/>
    </row>
    <row r="184">
      <c r="A184" s="75"/>
      <c r="B184" s="76"/>
      <c r="C184" s="76"/>
      <c r="D184" s="76"/>
      <c r="E184" s="77"/>
    </row>
    <row r="185">
      <c r="A185" s="75"/>
      <c r="B185" s="76"/>
      <c r="C185" s="76"/>
      <c r="D185" s="76"/>
      <c r="E185" s="77"/>
    </row>
    <row r="186">
      <c r="A186" s="75"/>
      <c r="B186" s="76"/>
      <c r="C186" s="76"/>
      <c r="D186" s="76"/>
      <c r="E186" s="77"/>
    </row>
    <row r="187">
      <c r="A187" s="75"/>
      <c r="B187" s="76"/>
      <c r="C187" s="76"/>
      <c r="D187" s="76"/>
      <c r="E187" s="77"/>
    </row>
    <row r="188">
      <c r="A188" s="75"/>
      <c r="B188" s="76"/>
      <c r="C188" s="76"/>
      <c r="D188" s="76"/>
      <c r="E188" s="77"/>
    </row>
    <row r="189">
      <c r="A189" s="75"/>
      <c r="B189" s="76"/>
      <c r="C189" s="76"/>
      <c r="D189" s="76"/>
      <c r="E189" s="77"/>
    </row>
    <row r="190">
      <c r="A190" s="75"/>
      <c r="B190" s="76"/>
      <c r="C190" s="76"/>
      <c r="D190" s="76"/>
      <c r="E190" s="77"/>
    </row>
    <row r="191">
      <c r="A191" s="75"/>
      <c r="B191" s="76"/>
      <c r="C191" s="76"/>
      <c r="D191" s="76"/>
      <c r="E191" s="77"/>
    </row>
    <row r="192">
      <c r="A192" s="75"/>
      <c r="B192" s="76"/>
      <c r="C192" s="76"/>
      <c r="D192" s="76"/>
      <c r="E192" s="77"/>
    </row>
    <row r="193">
      <c r="A193" s="75"/>
      <c r="B193" s="76"/>
      <c r="C193" s="76"/>
      <c r="D193" s="76"/>
      <c r="E193" s="77"/>
    </row>
    <row r="194">
      <c r="A194" s="75"/>
      <c r="B194" s="76"/>
      <c r="C194" s="76"/>
      <c r="D194" s="76"/>
      <c r="E194" s="77"/>
    </row>
    <row r="195">
      <c r="A195" s="75"/>
      <c r="B195" s="76"/>
      <c r="C195" s="76"/>
      <c r="D195" s="76"/>
      <c r="E195" s="77"/>
    </row>
    <row r="196">
      <c r="A196" s="75"/>
      <c r="B196" s="76"/>
      <c r="C196" s="76"/>
      <c r="D196" s="76"/>
      <c r="E196" s="77"/>
    </row>
    <row r="197">
      <c r="A197" s="75"/>
      <c r="B197" s="76"/>
      <c r="C197" s="76"/>
      <c r="D197" s="76"/>
      <c r="E197" s="77"/>
    </row>
    <row r="198">
      <c r="A198" s="75"/>
      <c r="B198" s="76"/>
      <c r="C198" s="76"/>
      <c r="D198" s="76"/>
      <c r="E198" s="77"/>
    </row>
    <row r="199">
      <c r="A199" s="75"/>
      <c r="B199" s="76"/>
      <c r="C199" s="76"/>
      <c r="D199" s="76"/>
      <c r="E199" s="77"/>
    </row>
    <row r="200">
      <c r="A200" s="75"/>
      <c r="B200" s="76"/>
      <c r="C200" s="76"/>
      <c r="D200" s="76"/>
      <c r="E200" s="77"/>
    </row>
    <row r="201">
      <c r="A201" s="75"/>
      <c r="B201" s="76"/>
      <c r="C201" s="76"/>
      <c r="D201" s="76"/>
      <c r="E201" s="77"/>
    </row>
    <row r="202">
      <c r="A202" s="75"/>
      <c r="B202" s="76"/>
      <c r="C202" s="76"/>
      <c r="D202" s="76"/>
      <c r="E202" s="77"/>
    </row>
    <row r="203">
      <c r="A203" s="75"/>
      <c r="B203" s="76"/>
      <c r="C203" s="76"/>
      <c r="D203" s="76"/>
      <c r="E203" s="77"/>
    </row>
    <row r="204">
      <c r="A204" s="75"/>
      <c r="B204" s="76"/>
      <c r="C204" s="76"/>
      <c r="D204" s="76"/>
      <c r="E204" s="77"/>
    </row>
    <row r="205">
      <c r="A205" s="75"/>
      <c r="B205" s="76"/>
      <c r="C205" s="76"/>
      <c r="D205" s="76"/>
      <c r="E205" s="77"/>
    </row>
    <row r="206">
      <c r="A206" s="75"/>
      <c r="B206" s="76"/>
      <c r="C206" s="76"/>
      <c r="D206" s="76"/>
      <c r="E206" s="77"/>
    </row>
    <row r="207">
      <c r="A207" s="75"/>
      <c r="B207" s="76"/>
      <c r="C207" s="76"/>
      <c r="D207" s="76"/>
      <c r="E207" s="77"/>
    </row>
    <row r="208">
      <c r="A208" s="75"/>
      <c r="B208" s="76"/>
      <c r="C208" s="76"/>
      <c r="D208" s="76"/>
      <c r="E208" s="77"/>
    </row>
    <row r="209">
      <c r="A209" s="75"/>
      <c r="B209" s="76"/>
      <c r="C209" s="76"/>
      <c r="D209" s="76"/>
      <c r="E209" s="77"/>
    </row>
    <row r="210">
      <c r="A210" s="75"/>
      <c r="B210" s="76"/>
      <c r="C210" s="76"/>
      <c r="D210" s="76"/>
      <c r="E210" s="77"/>
    </row>
    <row r="211">
      <c r="A211" s="75"/>
      <c r="B211" s="76"/>
      <c r="C211" s="76"/>
      <c r="D211" s="76"/>
      <c r="E211" s="77"/>
    </row>
    <row r="212">
      <c r="A212" s="75"/>
      <c r="B212" s="76"/>
      <c r="C212" s="76"/>
      <c r="D212" s="76"/>
      <c r="E212" s="77"/>
    </row>
    <row r="213">
      <c r="A213" s="75"/>
      <c r="B213" s="76"/>
      <c r="C213" s="76"/>
      <c r="D213" s="76"/>
      <c r="E213" s="77"/>
    </row>
    <row r="214">
      <c r="A214" s="75"/>
      <c r="B214" s="76"/>
      <c r="C214" s="76"/>
      <c r="D214" s="76"/>
      <c r="E214" s="77"/>
    </row>
    <row r="215">
      <c r="A215" s="75"/>
      <c r="B215" s="76"/>
      <c r="C215" s="76"/>
      <c r="D215" s="76"/>
      <c r="E215" s="77"/>
    </row>
    <row r="216">
      <c r="A216" s="75"/>
      <c r="B216" s="76"/>
      <c r="C216" s="76"/>
      <c r="D216" s="76"/>
      <c r="E216" s="77"/>
    </row>
    <row r="217">
      <c r="A217" s="75"/>
      <c r="B217" s="76"/>
      <c r="C217" s="76"/>
      <c r="D217" s="76"/>
      <c r="E217" s="77"/>
    </row>
    <row r="218">
      <c r="A218" s="75"/>
      <c r="B218" s="76"/>
      <c r="C218" s="76"/>
      <c r="D218" s="76"/>
      <c r="E218" s="77"/>
    </row>
    <row r="219">
      <c r="A219" s="75"/>
      <c r="B219" s="76"/>
      <c r="C219" s="76"/>
      <c r="D219" s="76"/>
      <c r="E219" s="77"/>
    </row>
    <row r="220">
      <c r="A220" s="75"/>
      <c r="B220" s="76"/>
      <c r="C220" s="76"/>
      <c r="D220" s="76"/>
      <c r="E220" s="77"/>
    </row>
    <row r="221">
      <c r="A221" s="75"/>
      <c r="B221" s="76"/>
      <c r="C221" s="76"/>
      <c r="D221" s="76"/>
      <c r="E221" s="77"/>
    </row>
    <row r="222">
      <c r="A222" s="75"/>
      <c r="B222" s="76"/>
      <c r="C222" s="76"/>
      <c r="D222" s="76"/>
      <c r="E222" s="77"/>
    </row>
    <row r="223">
      <c r="A223" s="75"/>
      <c r="B223" s="76"/>
      <c r="C223" s="76"/>
      <c r="D223" s="76"/>
      <c r="E223" s="77"/>
    </row>
    <row r="224">
      <c r="A224" s="75"/>
      <c r="B224" s="76"/>
      <c r="C224" s="76"/>
      <c r="D224" s="76"/>
      <c r="E224" s="77"/>
    </row>
    <row r="225">
      <c r="A225" s="75"/>
      <c r="B225" s="76"/>
      <c r="C225" s="76"/>
      <c r="D225" s="76"/>
      <c r="E225" s="77"/>
    </row>
    <row r="226">
      <c r="A226" s="75"/>
      <c r="B226" s="76"/>
      <c r="C226" s="76"/>
      <c r="D226" s="76"/>
      <c r="E226" s="77"/>
    </row>
    <row r="227">
      <c r="A227" s="75"/>
      <c r="B227" s="76"/>
      <c r="C227" s="76"/>
      <c r="D227" s="76"/>
      <c r="E227" s="77"/>
    </row>
    <row r="228">
      <c r="A228" s="75"/>
      <c r="B228" s="76"/>
      <c r="C228" s="76"/>
      <c r="D228" s="76"/>
      <c r="E228" s="77"/>
    </row>
    <row r="229">
      <c r="A229" s="75"/>
      <c r="B229" s="76"/>
      <c r="C229" s="76"/>
      <c r="D229" s="76"/>
      <c r="E229" s="77"/>
    </row>
    <row r="230">
      <c r="A230" s="75"/>
      <c r="B230" s="76"/>
      <c r="C230" s="76"/>
      <c r="D230" s="76"/>
      <c r="E230" s="77"/>
    </row>
    <row r="231">
      <c r="A231" s="75"/>
      <c r="B231" s="76"/>
      <c r="C231" s="76"/>
      <c r="D231" s="76"/>
      <c r="E231" s="77"/>
    </row>
    <row r="232">
      <c r="A232" s="75"/>
      <c r="B232" s="76"/>
      <c r="C232" s="76"/>
      <c r="D232" s="76"/>
      <c r="E232" s="77"/>
    </row>
    <row r="233">
      <c r="A233" s="75"/>
      <c r="B233" s="76"/>
      <c r="C233" s="76"/>
      <c r="D233" s="76"/>
      <c r="E233" s="77"/>
    </row>
    <row r="234">
      <c r="A234" s="75"/>
      <c r="B234" s="76"/>
      <c r="C234" s="76"/>
      <c r="D234" s="76"/>
      <c r="E234" s="77"/>
    </row>
    <row r="235">
      <c r="A235" s="75"/>
      <c r="B235" s="76"/>
      <c r="C235" s="76"/>
      <c r="D235" s="76"/>
      <c r="E235" s="77"/>
    </row>
    <row r="236">
      <c r="A236" s="75"/>
      <c r="B236" s="76"/>
      <c r="C236" s="76"/>
      <c r="D236" s="76"/>
      <c r="E236" s="77"/>
    </row>
    <row r="237">
      <c r="A237" s="75"/>
      <c r="B237" s="76"/>
      <c r="C237" s="76"/>
      <c r="D237" s="76"/>
      <c r="E237" s="77"/>
    </row>
    <row r="238">
      <c r="A238" s="75"/>
      <c r="B238" s="76"/>
      <c r="C238" s="76"/>
      <c r="D238" s="76"/>
      <c r="E238" s="77"/>
    </row>
    <row r="239">
      <c r="A239" s="75"/>
      <c r="B239" s="76"/>
      <c r="C239" s="76"/>
      <c r="D239" s="76"/>
      <c r="E239" s="77"/>
    </row>
    <row r="240">
      <c r="A240" s="75"/>
      <c r="B240" s="76"/>
      <c r="C240" s="76"/>
      <c r="D240" s="76"/>
      <c r="E240" s="77"/>
    </row>
    <row r="241">
      <c r="A241" s="75"/>
      <c r="B241" s="76"/>
      <c r="C241" s="76"/>
      <c r="D241" s="76"/>
      <c r="E241" s="77"/>
    </row>
    <row r="242">
      <c r="A242" s="75"/>
      <c r="B242" s="76"/>
      <c r="C242" s="76"/>
      <c r="D242" s="76"/>
      <c r="E242" s="77"/>
    </row>
    <row r="243">
      <c r="A243" s="75"/>
      <c r="B243" s="76"/>
      <c r="C243" s="76"/>
      <c r="D243" s="76"/>
      <c r="E243" s="77"/>
    </row>
    <row r="244">
      <c r="A244" s="75"/>
      <c r="B244" s="76"/>
      <c r="C244" s="76"/>
      <c r="D244" s="76"/>
      <c r="E244" s="77"/>
    </row>
    <row r="245">
      <c r="A245" s="75"/>
      <c r="B245" s="76"/>
      <c r="C245" s="76"/>
      <c r="D245" s="76"/>
      <c r="E245" s="77"/>
    </row>
    <row r="246">
      <c r="A246" s="75"/>
      <c r="B246" s="76"/>
      <c r="C246" s="76"/>
      <c r="D246" s="76"/>
      <c r="E246" s="77"/>
    </row>
    <row r="247">
      <c r="A247" s="75"/>
      <c r="B247" s="76"/>
      <c r="C247" s="76"/>
      <c r="D247" s="76"/>
      <c r="E247" s="77"/>
    </row>
    <row r="248">
      <c r="A248" s="75"/>
      <c r="B248" s="76"/>
      <c r="C248" s="76"/>
      <c r="D248" s="76"/>
      <c r="E248" s="77"/>
    </row>
    <row r="249">
      <c r="A249" s="75"/>
      <c r="B249" s="76"/>
      <c r="C249" s="76"/>
      <c r="D249" s="76"/>
      <c r="E249" s="77"/>
    </row>
    <row r="250">
      <c r="A250" s="75"/>
      <c r="B250" s="76"/>
      <c r="C250" s="76"/>
      <c r="D250" s="76"/>
      <c r="E250" s="77"/>
    </row>
    <row r="251">
      <c r="A251" s="75"/>
      <c r="B251" s="76"/>
      <c r="C251" s="76"/>
      <c r="D251" s="76"/>
      <c r="E251" s="77"/>
    </row>
    <row r="252">
      <c r="A252" s="75"/>
      <c r="B252" s="76"/>
      <c r="C252" s="76"/>
      <c r="D252" s="76"/>
      <c r="E252" s="77"/>
    </row>
    <row r="253">
      <c r="A253" s="75"/>
      <c r="B253" s="76"/>
      <c r="C253" s="76"/>
      <c r="D253" s="76"/>
      <c r="E253" s="77"/>
    </row>
    <row r="254">
      <c r="A254" s="75"/>
      <c r="B254" s="76"/>
      <c r="C254" s="76"/>
      <c r="D254" s="76"/>
      <c r="E254" s="77"/>
    </row>
    <row r="255">
      <c r="A255" s="75"/>
      <c r="B255" s="76"/>
      <c r="C255" s="76"/>
      <c r="D255" s="76"/>
      <c r="E255" s="77"/>
    </row>
    <row r="256">
      <c r="A256" s="75"/>
      <c r="B256" s="76"/>
      <c r="C256" s="76"/>
      <c r="D256" s="76"/>
      <c r="E256" s="77"/>
    </row>
    <row r="257">
      <c r="A257" s="75"/>
      <c r="B257" s="76"/>
      <c r="C257" s="76"/>
      <c r="D257" s="76"/>
      <c r="E257" s="77"/>
    </row>
    <row r="258">
      <c r="A258" s="75"/>
      <c r="B258" s="76"/>
      <c r="C258" s="76"/>
      <c r="D258" s="76"/>
      <c r="E258" s="77"/>
    </row>
    <row r="259">
      <c r="A259" s="75"/>
      <c r="B259" s="76"/>
      <c r="C259" s="76"/>
      <c r="D259" s="76"/>
      <c r="E259" s="77"/>
    </row>
    <row r="260">
      <c r="A260" s="75"/>
      <c r="B260" s="76"/>
      <c r="C260" s="76"/>
      <c r="D260" s="76"/>
      <c r="E260" s="77"/>
    </row>
    <row r="261">
      <c r="A261" s="75"/>
      <c r="B261" s="76"/>
      <c r="C261" s="76"/>
      <c r="D261" s="76"/>
      <c r="E261" s="77"/>
    </row>
    <row r="262">
      <c r="A262" s="75"/>
      <c r="B262" s="76"/>
      <c r="C262" s="76"/>
      <c r="D262" s="76"/>
      <c r="E262" s="77"/>
    </row>
    <row r="263">
      <c r="A263" s="75"/>
      <c r="B263" s="76"/>
      <c r="C263" s="76"/>
      <c r="D263" s="76"/>
      <c r="E263" s="77"/>
    </row>
    <row r="264">
      <c r="A264" s="75"/>
      <c r="B264" s="76"/>
      <c r="C264" s="76"/>
      <c r="D264" s="76"/>
      <c r="E264" s="77"/>
    </row>
    <row r="265">
      <c r="A265" s="75"/>
      <c r="B265" s="76"/>
      <c r="C265" s="76"/>
      <c r="D265" s="76"/>
      <c r="E265" s="77"/>
    </row>
    <row r="266">
      <c r="A266" s="75"/>
      <c r="B266" s="76"/>
      <c r="C266" s="76"/>
      <c r="D266" s="76"/>
      <c r="E266" s="77"/>
    </row>
    <row r="267">
      <c r="A267" s="75"/>
      <c r="B267" s="76"/>
      <c r="C267" s="76"/>
      <c r="D267" s="76"/>
      <c r="E267" s="77"/>
    </row>
    <row r="268">
      <c r="A268" s="75"/>
      <c r="B268" s="76"/>
      <c r="C268" s="76"/>
      <c r="D268" s="76"/>
      <c r="E268" s="77"/>
    </row>
    <row r="269">
      <c r="A269" s="75"/>
      <c r="B269" s="76"/>
      <c r="C269" s="76"/>
      <c r="D269" s="76"/>
      <c r="E269" s="77"/>
    </row>
    <row r="270">
      <c r="A270" s="75"/>
      <c r="B270" s="76"/>
      <c r="C270" s="76"/>
      <c r="D270" s="76"/>
      <c r="E270" s="77"/>
    </row>
    <row r="271">
      <c r="A271" s="75"/>
      <c r="B271" s="76"/>
      <c r="C271" s="76"/>
      <c r="D271" s="76"/>
      <c r="E271" s="77"/>
    </row>
    <row r="272">
      <c r="A272" s="75"/>
      <c r="B272" s="76"/>
      <c r="C272" s="76"/>
      <c r="D272" s="76"/>
      <c r="E272" s="77"/>
    </row>
    <row r="273">
      <c r="A273" s="75"/>
      <c r="B273" s="76"/>
      <c r="C273" s="76"/>
      <c r="D273" s="76"/>
      <c r="E273" s="77"/>
    </row>
    <row r="274">
      <c r="A274" s="75"/>
      <c r="B274" s="76"/>
      <c r="C274" s="76"/>
      <c r="D274" s="76"/>
      <c r="E274" s="77"/>
    </row>
    <row r="275">
      <c r="A275" s="75"/>
      <c r="B275" s="76"/>
      <c r="C275" s="76"/>
      <c r="D275" s="76"/>
      <c r="E275" s="77"/>
    </row>
    <row r="276">
      <c r="A276" s="75"/>
      <c r="B276" s="76"/>
      <c r="C276" s="76"/>
      <c r="D276" s="76"/>
      <c r="E276" s="77"/>
    </row>
    <row r="277">
      <c r="A277" s="75"/>
      <c r="B277" s="76"/>
      <c r="C277" s="76"/>
      <c r="D277" s="76"/>
      <c r="E277" s="77"/>
    </row>
    <row r="278">
      <c r="A278" s="75"/>
      <c r="B278" s="76"/>
      <c r="C278" s="76"/>
      <c r="D278" s="76"/>
      <c r="E278" s="77"/>
    </row>
    <row r="279">
      <c r="A279" s="75"/>
      <c r="B279" s="76"/>
      <c r="C279" s="76"/>
      <c r="D279" s="76"/>
      <c r="E279" s="77"/>
    </row>
    <row r="280">
      <c r="A280" s="75"/>
      <c r="B280" s="76"/>
      <c r="C280" s="76"/>
      <c r="D280" s="76"/>
      <c r="E280" s="77"/>
    </row>
    <row r="281">
      <c r="A281" s="75"/>
      <c r="B281" s="76"/>
      <c r="C281" s="76"/>
      <c r="D281" s="76"/>
      <c r="E281" s="77"/>
    </row>
    <row r="282">
      <c r="A282" s="75"/>
      <c r="B282" s="76"/>
      <c r="C282" s="76"/>
      <c r="D282" s="76"/>
      <c r="E282" s="77"/>
    </row>
    <row r="283">
      <c r="A283" s="75"/>
      <c r="B283" s="76"/>
      <c r="C283" s="76"/>
      <c r="D283" s="76"/>
      <c r="E283" s="77"/>
    </row>
    <row r="284">
      <c r="A284" s="75"/>
      <c r="B284" s="76"/>
      <c r="C284" s="76"/>
      <c r="D284" s="76"/>
      <c r="E284" s="77"/>
    </row>
    <row r="285">
      <c r="A285" s="75"/>
      <c r="B285" s="76"/>
      <c r="C285" s="76"/>
      <c r="D285" s="76"/>
      <c r="E285" s="77"/>
    </row>
    <row r="286">
      <c r="A286" s="75"/>
      <c r="B286" s="76"/>
      <c r="C286" s="76"/>
      <c r="D286" s="76"/>
      <c r="E286" s="77"/>
    </row>
    <row r="287">
      <c r="A287" s="75"/>
      <c r="B287" s="76"/>
      <c r="C287" s="76"/>
      <c r="D287" s="76"/>
      <c r="E287" s="77"/>
    </row>
    <row r="288">
      <c r="A288" s="75"/>
      <c r="B288" s="76"/>
      <c r="C288" s="76"/>
      <c r="D288" s="76"/>
      <c r="E288" s="77"/>
    </row>
    <row r="289">
      <c r="A289" s="75"/>
      <c r="B289" s="76"/>
      <c r="C289" s="76"/>
      <c r="D289" s="76"/>
      <c r="E289" s="77"/>
    </row>
    <row r="290">
      <c r="A290" s="75"/>
      <c r="B290" s="76"/>
      <c r="C290" s="76"/>
      <c r="D290" s="76"/>
      <c r="E290" s="77"/>
    </row>
    <row r="291">
      <c r="A291" s="75"/>
      <c r="B291" s="76"/>
      <c r="C291" s="76"/>
      <c r="D291" s="76"/>
      <c r="E291" s="77"/>
    </row>
    <row r="292">
      <c r="A292" s="75"/>
      <c r="B292" s="76"/>
      <c r="C292" s="76"/>
      <c r="D292" s="76"/>
      <c r="E292" s="77"/>
    </row>
    <row r="293">
      <c r="A293" s="75"/>
      <c r="B293" s="76"/>
      <c r="C293" s="76"/>
      <c r="D293" s="76"/>
      <c r="E293" s="77"/>
    </row>
    <row r="294">
      <c r="A294" s="75"/>
      <c r="B294" s="76"/>
      <c r="C294" s="76"/>
      <c r="D294" s="76"/>
      <c r="E294" s="77"/>
    </row>
    <row r="295">
      <c r="A295" s="75"/>
      <c r="B295" s="76"/>
      <c r="C295" s="76"/>
      <c r="D295" s="76"/>
      <c r="E295" s="77"/>
    </row>
    <row r="296">
      <c r="A296" s="75"/>
      <c r="B296" s="76"/>
      <c r="C296" s="76"/>
      <c r="D296" s="76"/>
      <c r="E296" s="77"/>
    </row>
    <row r="297">
      <c r="A297" s="75"/>
      <c r="B297" s="76"/>
      <c r="C297" s="76"/>
      <c r="D297" s="76"/>
      <c r="E297" s="77"/>
    </row>
    <row r="298">
      <c r="A298" s="75"/>
      <c r="B298" s="76"/>
      <c r="C298" s="76"/>
      <c r="D298" s="76"/>
      <c r="E298" s="77"/>
    </row>
    <row r="299">
      <c r="A299" s="75"/>
      <c r="B299" s="76"/>
      <c r="C299" s="76"/>
      <c r="D299" s="76"/>
      <c r="E299" s="77"/>
    </row>
    <row r="300">
      <c r="A300" s="75"/>
      <c r="B300" s="76"/>
      <c r="C300" s="76"/>
      <c r="D300" s="76"/>
      <c r="E300" s="77"/>
    </row>
    <row r="301">
      <c r="A301" s="75"/>
      <c r="B301" s="76"/>
      <c r="C301" s="76"/>
      <c r="D301" s="76"/>
      <c r="E301" s="77"/>
    </row>
    <row r="302">
      <c r="A302" s="75"/>
      <c r="B302" s="76"/>
      <c r="C302" s="76"/>
      <c r="D302" s="76"/>
      <c r="E302" s="77"/>
    </row>
    <row r="303">
      <c r="A303" s="75"/>
      <c r="B303" s="76"/>
      <c r="C303" s="76"/>
      <c r="D303" s="76"/>
      <c r="E303" s="77"/>
    </row>
    <row r="304">
      <c r="A304" s="75"/>
      <c r="B304" s="76"/>
      <c r="C304" s="76"/>
      <c r="D304" s="76"/>
      <c r="E304" s="77"/>
    </row>
    <row r="305">
      <c r="A305" s="75"/>
      <c r="B305" s="76"/>
      <c r="C305" s="76"/>
      <c r="D305" s="76"/>
      <c r="E305" s="77"/>
    </row>
    <row r="306">
      <c r="A306" s="75"/>
      <c r="B306" s="76"/>
      <c r="C306" s="76"/>
      <c r="D306" s="76"/>
      <c r="E306" s="77"/>
    </row>
    <row r="307">
      <c r="A307" s="75"/>
      <c r="B307" s="76"/>
      <c r="C307" s="76"/>
      <c r="D307" s="76"/>
      <c r="E307" s="77"/>
    </row>
    <row r="308">
      <c r="A308" s="75"/>
      <c r="B308" s="76"/>
      <c r="C308" s="76"/>
      <c r="D308" s="76"/>
      <c r="E308" s="77"/>
    </row>
    <row r="309">
      <c r="A309" s="75"/>
      <c r="B309" s="76"/>
      <c r="C309" s="76"/>
      <c r="D309" s="76"/>
      <c r="E309" s="77"/>
    </row>
    <row r="310">
      <c r="A310" s="75"/>
      <c r="B310" s="76"/>
      <c r="C310" s="76"/>
      <c r="D310" s="76"/>
      <c r="E310" s="77"/>
    </row>
    <row r="311">
      <c r="A311" s="75"/>
      <c r="B311" s="76"/>
      <c r="C311" s="76"/>
      <c r="D311" s="76"/>
      <c r="E311" s="77"/>
    </row>
    <row r="312">
      <c r="A312" s="75"/>
      <c r="B312" s="76"/>
      <c r="C312" s="76"/>
      <c r="D312" s="76"/>
      <c r="E312" s="77"/>
    </row>
    <row r="313">
      <c r="A313" s="75"/>
      <c r="B313" s="76"/>
      <c r="C313" s="76"/>
      <c r="D313" s="76"/>
      <c r="E313" s="77"/>
    </row>
    <row r="314">
      <c r="A314" s="75"/>
      <c r="B314" s="76"/>
      <c r="C314" s="76"/>
      <c r="D314" s="76"/>
      <c r="E314" s="77"/>
    </row>
    <row r="315">
      <c r="A315" s="75"/>
      <c r="B315" s="76"/>
      <c r="C315" s="76"/>
      <c r="D315" s="76"/>
      <c r="E315" s="77"/>
    </row>
    <row r="316">
      <c r="A316" s="75"/>
      <c r="B316" s="76"/>
      <c r="C316" s="76"/>
      <c r="D316" s="76"/>
      <c r="E316" s="77"/>
    </row>
    <row r="317">
      <c r="A317" s="75"/>
      <c r="B317" s="76"/>
      <c r="C317" s="76"/>
      <c r="D317" s="76"/>
      <c r="E317" s="77"/>
    </row>
    <row r="318">
      <c r="A318" s="75"/>
      <c r="B318" s="76"/>
      <c r="C318" s="76"/>
      <c r="D318" s="76"/>
      <c r="E318" s="77"/>
    </row>
    <row r="319">
      <c r="A319" s="75"/>
      <c r="B319" s="76"/>
      <c r="C319" s="76"/>
      <c r="D319" s="76"/>
      <c r="E319" s="77"/>
    </row>
    <row r="320">
      <c r="A320" s="75"/>
      <c r="B320" s="76"/>
      <c r="C320" s="76"/>
      <c r="D320" s="76"/>
      <c r="E320" s="77"/>
    </row>
    <row r="321">
      <c r="A321" s="75"/>
      <c r="B321" s="76"/>
      <c r="C321" s="76"/>
      <c r="D321" s="76"/>
      <c r="E321" s="77"/>
    </row>
    <row r="322">
      <c r="A322" s="75"/>
      <c r="B322" s="76"/>
      <c r="C322" s="76"/>
      <c r="D322" s="76"/>
      <c r="E322" s="77"/>
    </row>
    <row r="323">
      <c r="A323" s="75"/>
      <c r="B323" s="76"/>
      <c r="C323" s="76"/>
      <c r="D323" s="76"/>
      <c r="E323" s="77"/>
    </row>
    <row r="324">
      <c r="A324" s="75"/>
      <c r="B324" s="76"/>
      <c r="C324" s="76"/>
      <c r="D324" s="76"/>
      <c r="E324" s="77"/>
    </row>
    <row r="325">
      <c r="A325" s="75"/>
      <c r="B325" s="76"/>
      <c r="C325" s="76"/>
      <c r="D325" s="76"/>
      <c r="E325" s="77"/>
    </row>
    <row r="326">
      <c r="A326" s="75"/>
      <c r="B326" s="76"/>
      <c r="C326" s="76"/>
      <c r="D326" s="76"/>
      <c r="E326" s="77"/>
    </row>
    <row r="327">
      <c r="A327" s="75"/>
      <c r="B327" s="76"/>
      <c r="C327" s="76"/>
      <c r="D327" s="76"/>
      <c r="E327" s="77"/>
    </row>
    <row r="328">
      <c r="A328" s="75"/>
      <c r="B328" s="76"/>
      <c r="C328" s="76"/>
      <c r="D328" s="76"/>
      <c r="E328" s="77"/>
    </row>
    <row r="329">
      <c r="A329" s="75"/>
      <c r="B329" s="76"/>
      <c r="C329" s="76"/>
      <c r="D329" s="76"/>
      <c r="E329" s="77"/>
    </row>
    <row r="330">
      <c r="A330" s="75"/>
      <c r="B330" s="76"/>
      <c r="C330" s="76"/>
      <c r="D330" s="76"/>
      <c r="E330" s="77"/>
    </row>
    <row r="331">
      <c r="A331" s="75"/>
      <c r="B331" s="76"/>
      <c r="C331" s="76"/>
      <c r="D331" s="76"/>
      <c r="E331" s="77"/>
    </row>
    <row r="332">
      <c r="A332" s="75"/>
      <c r="B332" s="76"/>
      <c r="C332" s="76"/>
      <c r="D332" s="76"/>
      <c r="E332" s="77"/>
    </row>
    <row r="333">
      <c r="A333" s="75"/>
      <c r="B333" s="76"/>
      <c r="C333" s="76"/>
      <c r="D333" s="76"/>
      <c r="E333" s="77"/>
    </row>
    <row r="334">
      <c r="A334" s="75"/>
      <c r="B334" s="76"/>
      <c r="C334" s="76"/>
      <c r="D334" s="76"/>
      <c r="E334" s="77"/>
    </row>
    <row r="335">
      <c r="A335" s="75"/>
      <c r="B335" s="76"/>
      <c r="C335" s="76"/>
      <c r="D335" s="76"/>
      <c r="E335" s="77"/>
    </row>
    <row r="336">
      <c r="A336" s="75"/>
      <c r="B336" s="76"/>
      <c r="C336" s="76"/>
      <c r="D336" s="76"/>
      <c r="E336" s="77"/>
    </row>
    <row r="337">
      <c r="A337" s="75"/>
      <c r="B337" s="76"/>
      <c r="C337" s="76"/>
      <c r="D337" s="76"/>
      <c r="E337" s="77"/>
    </row>
    <row r="338">
      <c r="A338" s="75"/>
      <c r="B338" s="76"/>
      <c r="C338" s="76"/>
      <c r="D338" s="76"/>
      <c r="E338" s="77"/>
    </row>
    <row r="339">
      <c r="A339" s="75"/>
      <c r="B339" s="76"/>
      <c r="C339" s="76"/>
      <c r="D339" s="76"/>
      <c r="E339" s="77"/>
    </row>
    <row r="340">
      <c r="A340" s="75"/>
      <c r="B340" s="76"/>
      <c r="C340" s="76"/>
      <c r="D340" s="76"/>
      <c r="E340" s="77"/>
    </row>
    <row r="341">
      <c r="A341" s="75"/>
      <c r="B341" s="76"/>
      <c r="C341" s="76"/>
      <c r="D341" s="76"/>
      <c r="E341" s="77"/>
    </row>
    <row r="342">
      <c r="A342" s="75"/>
      <c r="B342" s="76"/>
      <c r="C342" s="76"/>
      <c r="D342" s="76"/>
      <c r="E342" s="77"/>
    </row>
    <row r="343">
      <c r="A343" s="75"/>
      <c r="B343" s="76"/>
      <c r="C343" s="76"/>
      <c r="D343" s="76"/>
      <c r="E343" s="77"/>
    </row>
    <row r="344">
      <c r="A344" s="75"/>
      <c r="B344" s="76"/>
      <c r="C344" s="76"/>
      <c r="D344" s="76"/>
      <c r="E344" s="77"/>
    </row>
    <row r="345">
      <c r="A345" s="75"/>
      <c r="B345" s="76"/>
      <c r="C345" s="76"/>
      <c r="D345" s="76"/>
      <c r="E345" s="77"/>
    </row>
    <row r="346">
      <c r="A346" s="75"/>
      <c r="B346" s="76"/>
      <c r="C346" s="76"/>
      <c r="D346" s="76"/>
      <c r="E346" s="77"/>
    </row>
    <row r="347">
      <c r="A347" s="75"/>
      <c r="B347" s="76"/>
      <c r="C347" s="76"/>
      <c r="D347" s="76"/>
      <c r="E347" s="77"/>
    </row>
    <row r="348">
      <c r="A348" s="75"/>
      <c r="B348" s="76"/>
      <c r="C348" s="76"/>
      <c r="D348" s="76"/>
      <c r="E348" s="77"/>
    </row>
    <row r="349">
      <c r="A349" s="75"/>
      <c r="B349" s="76"/>
      <c r="C349" s="76"/>
      <c r="D349" s="76"/>
      <c r="E349" s="77"/>
    </row>
    <row r="350">
      <c r="A350" s="75"/>
      <c r="B350" s="76"/>
      <c r="C350" s="76"/>
      <c r="D350" s="76"/>
      <c r="E350" s="77"/>
    </row>
    <row r="351">
      <c r="A351" s="75"/>
      <c r="B351" s="76"/>
      <c r="C351" s="76"/>
      <c r="D351" s="76"/>
      <c r="E351" s="77"/>
    </row>
    <row r="352">
      <c r="A352" s="75"/>
      <c r="B352" s="76"/>
      <c r="C352" s="76"/>
      <c r="D352" s="76"/>
      <c r="E352" s="77"/>
    </row>
    <row r="353">
      <c r="A353" s="75"/>
      <c r="B353" s="76"/>
      <c r="C353" s="76"/>
      <c r="D353" s="76"/>
      <c r="E353" s="77"/>
    </row>
    <row r="354">
      <c r="A354" s="75"/>
      <c r="B354" s="76"/>
      <c r="C354" s="76"/>
      <c r="D354" s="76"/>
      <c r="E354" s="77"/>
    </row>
    <row r="355">
      <c r="A355" s="75"/>
      <c r="B355" s="76"/>
      <c r="C355" s="76"/>
      <c r="D355" s="76"/>
      <c r="E355" s="77"/>
    </row>
    <row r="356">
      <c r="A356" s="75"/>
      <c r="B356" s="76"/>
      <c r="C356" s="76"/>
      <c r="D356" s="76"/>
      <c r="E356" s="77"/>
    </row>
    <row r="357">
      <c r="A357" s="75"/>
      <c r="B357" s="76"/>
      <c r="C357" s="76"/>
      <c r="D357" s="76"/>
      <c r="E357" s="77"/>
    </row>
    <row r="358">
      <c r="A358" s="75"/>
      <c r="B358" s="76"/>
      <c r="C358" s="76"/>
      <c r="D358" s="76"/>
      <c r="E358" s="77"/>
    </row>
    <row r="359">
      <c r="A359" s="75"/>
      <c r="B359" s="76"/>
      <c r="C359" s="76"/>
      <c r="D359" s="76"/>
      <c r="E359" s="77"/>
    </row>
    <row r="360">
      <c r="A360" s="75"/>
      <c r="B360" s="76"/>
      <c r="C360" s="76"/>
      <c r="D360" s="76"/>
      <c r="E360" s="77"/>
    </row>
    <row r="361">
      <c r="A361" s="75"/>
      <c r="B361" s="76"/>
      <c r="C361" s="76"/>
      <c r="D361" s="76"/>
      <c r="E361" s="77"/>
    </row>
    <row r="362">
      <c r="A362" s="75"/>
      <c r="B362" s="76"/>
      <c r="C362" s="76"/>
      <c r="D362" s="76"/>
      <c r="E362" s="77"/>
    </row>
    <row r="363">
      <c r="A363" s="75"/>
      <c r="B363" s="76"/>
      <c r="C363" s="76"/>
      <c r="D363" s="76"/>
      <c r="E363" s="77"/>
    </row>
    <row r="364">
      <c r="A364" s="75"/>
      <c r="B364" s="76"/>
      <c r="C364" s="76"/>
      <c r="D364" s="76"/>
      <c r="E364" s="77"/>
    </row>
    <row r="365">
      <c r="A365" s="75"/>
      <c r="B365" s="76"/>
      <c r="C365" s="76"/>
      <c r="D365" s="76"/>
      <c r="E365" s="77"/>
    </row>
    <row r="366">
      <c r="A366" s="75"/>
      <c r="B366" s="76"/>
      <c r="C366" s="76"/>
      <c r="D366" s="76"/>
      <c r="E366" s="77"/>
    </row>
    <row r="367">
      <c r="A367" s="75"/>
      <c r="B367" s="76"/>
      <c r="C367" s="76"/>
      <c r="D367" s="76"/>
      <c r="E367" s="77"/>
    </row>
    <row r="368">
      <c r="A368" s="75"/>
      <c r="B368" s="76"/>
      <c r="C368" s="76"/>
      <c r="D368" s="76"/>
      <c r="E368" s="77"/>
    </row>
    <row r="369">
      <c r="A369" s="75"/>
      <c r="B369" s="76"/>
      <c r="C369" s="76"/>
      <c r="D369" s="76"/>
      <c r="E369" s="77"/>
    </row>
    <row r="370">
      <c r="A370" s="75"/>
      <c r="B370" s="76"/>
      <c r="C370" s="76"/>
      <c r="D370" s="76"/>
      <c r="E370" s="77"/>
    </row>
    <row r="371">
      <c r="A371" s="75"/>
      <c r="B371" s="76"/>
      <c r="C371" s="76"/>
      <c r="D371" s="76"/>
      <c r="E371" s="77"/>
    </row>
    <row r="372">
      <c r="A372" s="75"/>
      <c r="B372" s="76"/>
      <c r="C372" s="76"/>
      <c r="D372" s="76"/>
      <c r="E372" s="77"/>
    </row>
    <row r="373">
      <c r="A373" s="75"/>
      <c r="B373" s="76"/>
      <c r="C373" s="76"/>
      <c r="D373" s="76"/>
      <c r="E373" s="77"/>
    </row>
    <row r="374">
      <c r="A374" s="75"/>
      <c r="B374" s="76"/>
      <c r="C374" s="76"/>
      <c r="D374" s="76"/>
      <c r="E374" s="77"/>
    </row>
    <row r="375">
      <c r="A375" s="75"/>
      <c r="B375" s="76"/>
      <c r="C375" s="76"/>
      <c r="D375" s="76"/>
      <c r="E375" s="77"/>
    </row>
    <row r="376">
      <c r="A376" s="75"/>
      <c r="B376" s="76"/>
      <c r="C376" s="76"/>
      <c r="D376" s="76"/>
      <c r="E376" s="77"/>
    </row>
    <row r="377">
      <c r="A377" s="75"/>
      <c r="B377" s="76"/>
      <c r="C377" s="76"/>
      <c r="D377" s="76"/>
      <c r="E377" s="77"/>
    </row>
    <row r="378">
      <c r="A378" s="75"/>
      <c r="B378" s="76"/>
      <c r="C378" s="76"/>
      <c r="D378" s="76"/>
      <c r="E378" s="77"/>
    </row>
    <row r="379">
      <c r="A379" s="75"/>
      <c r="B379" s="76"/>
      <c r="C379" s="76"/>
      <c r="D379" s="76"/>
      <c r="E379" s="77"/>
    </row>
    <row r="380">
      <c r="A380" s="75"/>
      <c r="B380" s="76"/>
      <c r="C380" s="76"/>
      <c r="D380" s="76"/>
      <c r="E380" s="77"/>
    </row>
    <row r="381">
      <c r="A381" s="75"/>
      <c r="B381" s="76"/>
      <c r="C381" s="76"/>
      <c r="D381" s="76"/>
      <c r="E381" s="77"/>
    </row>
    <row r="382">
      <c r="A382" s="75"/>
      <c r="B382" s="76"/>
      <c r="C382" s="76"/>
      <c r="D382" s="76"/>
      <c r="E382" s="77"/>
    </row>
    <row r="383">
      <c r="A383" s="75"/>
      <c r="B383" s="76"/>
      <c r="C383" s="76"/>
      <c r="D383" s="76"/>
      <c r="E383" s="77"/>
    </row>
    <row r="384">
      <c r="A384" s="75"/>
      <c r="B384" s="76"/>
      <c r="C384" s="76"/>
      <c r="D384" s="76"/>
      <c r="E384" s="77"/>
    </row>
    <row r="385">
      <c r="A385" s="75"/>
      <c r="B385" s="76"/>
      <c r="C385" s="76"/>
      <c r="D385" s="76"/>
      <c r="E385" s="77"/>
    </row>
    <row r="386">
      <c r="A386" s="75"/>
      <c r="B386" s="76"/>
      <c r="C386" s="76"/>
      <c r="D386" s="76"/>
      <c r="E386" s="77"/>
    </row>
    <row r="387">
      <c r="A387" s="75"/>
      <c r="B387" s="76"/>
      <c r="C387" s="76"/>
      <c r="D387" s="76"/>
      <c r="E387" s="77"/>
    </row>
    <row r="388">
      <c r="A388" s="75"/>
      <c r="B388" s="76"/>
      <c r="C388" s="76"/>
      <c r="D388" s="76"/>
      <c r="E388" s="77"/>
    </row>
    <row r="389">
      <c r="A389" s="75"/>
      <c r="B389" s="76"/>
      <c r="C389" s="76"/>
      <c r="D389" s="76"/>
      <c r="E389" s="77"/>
    </row>
    <row r="390">
      <c r="A390" s="75"/>
      <c r="B390" s="76"/>
      <c r="C390" s="76"/>
      <c r="D390" s="76"/>
      <c r="E390" s="77"/>
    </row>
    <row r="391">
      <c r="A391" s="75"/>
      <c r="B391" s="76"/>
      <c r="C391" s="76"/>
      <c r="D391" s="76"/>
      <c r="E391" s="77"/>
    </row>
    <row r="392">
      <c r="A392" s="75"/>
      <c r="B392" s="76"/>
      <c r="C392" s="76"/>
      <c r="D392" s="76"/>
      <c r="E392" s="77"/>
    </row>
    <row r="393">
      <c r="A393" s="75"/>
      <c r="B393" s="76"/>
      <c r="C393" s="76"/>
      <c r="D393" s="76"/>
      <c r="E393" s="77"/>
    </row>
    <row r="394">
      <c r="A394" s="75"/>
      <c r="B394" s="76"/>
      <c r="C394" s="76"/>
      <c r="D394" s="76"/>
      <c r="E394" s="77"/>
    </row>
    <row r="395">
      <c r="A395" s="75"/>
      <c r="B395" s="76"/>
      <c r="C395" s="76"/>
      <c r="D395" s="76"/>
      <c r="E395" s="77"/>
    </row>
    <row r="396">
      <c r="A396" s="75"/>
      <c r="B396" s="76"/>
      <c r="C396" s="76"/>
      <c r="D396" s="76"/>
      <c r="E396" s="77"/>
    </row>
    <row r="397">
      <c r="A397" s="75"/>
      <c r="B397" s="76"/>
      <c r="C397" s="76"/>
      <c r="D397" s="76"/>
      <c r="E397" s="77"/>
    </row>
    <row r="398">
      <c r="A398" s="75"/>
      <c r="B398" s="76"/>
      <c r="C398" s="76"/>
      <c r="D398" s="76"/>
      <c r="E398" s="77"/>
    </row>
    <row r="399">
      <c r="A399" s="75"/>
      <c r="B399" s="76"/>
      <c r="C399" s="76"/>
      <c r="D399" s="76"/>
      <c r="E399" s="77"/>
    </row>
    <row r="400">
      <c r="A400" s="75"/>
      <c r="B400" s="76"/>
      <c r="C400" s="76"/>
      <c r="D400" s="76"/>
      <c r="E400" s="77"/>
    </row>
    <row r="401">
      <c r="A401" s="75"/>
      <c r="B401" s="76"/>
      <c r="C401" s="76"/>
      <c r="D401" s="76"/>
      <c r="E401" s="77"/>
    </row>
    <row r="402">
      <c r="A402" s="75"/>
      <c r="B402" s="76"/>
      <c r="C402" s="76"/>
      <c r="D402" s="76"/>
      <c r="E402" s="77"/>
    </row>
    <row r="403">
      <c r="A403" s="75"/>
      <c r="B403" s="76"/>
      <c r="C403" s="76"/>
      <c r="D403" s="76"/>
      <c r="E403" s="77"/>
    </row>
    <row r="404">
      <c r="A404" s="75"/>
      <c r="B404" s="76"/>
      <c r="C404" s="76"/>
      <c r="D404" s="76"/>
      <c r="E404" s="77"/>
    </row>
    <row r="405">
      <c r="A405" s="75"/>
      <c r="B405" s="76"/>
      <c r="C405" s="76"/>
      <c r="D405" s="76"/>
      <c r="E405" s="77"/>
    </row>
    <row r="406">
      <c r="A406" s="75"/>
      <c r="B406" s="76"/>
      <c r="C406" s="76"/>
      <c r="D406" s="76"/>
      <c r="E406" s="77"/>
    </row>
    <row r="407">
      <c r="A407" s="75"/>
      <c r="B407" s="76"/>
      <c r="C407" s="76"/>
      <c r="D407" s="76"/>
      <c r="E407" s="77"/>
    </row>
    <row r="408">
      <c r="A408" s="75"/>
      <c r="B408" s="76"/>
      <c r="C408" s="76"/>
      <c r="D408" s="76"/>
      <c r="E408" s="77"/>
    </row>
    <row r="409">
      <c r="A409" s="75"/>
      <c r="B409" s="76"/>
      <c r="C409" s="76"/>
      <c r="D409" s="76"/>
      <c r="E409" s="77"/>
    </row>
    <row r="410">
      <c r="A410" s="75"/>
      <c r="B410" s="76"/>
      <c r="C410" s="76"/>
      <c r="D410" s="76"/>
      <c r="E410" s="77"/>
    </row>
    <row r="411">
      <c r="A411" s="75"/>
      <c r="B411" s="76"/>
      <c r="C411" s="76"/>
      <c r="D411" s="76"/>
      <c r="E411" s="77"/>
    </row>
    <row r="412">
      <c r="A412" s="75"/>
      <c r="B412" s="76"/>
      <c r="C412" s="76"/>
      <c r="D412" s="76"/>
      <c r="E412" s="77"/>
    </row>
    <row r="413">
      <c r="A413" s="75"/>
      <c r="B413" s="76"/>
      <c r="C413" s="76"/>
      <c r="D413" s="76"/>
      <c r="E413" s="77"/>
    </row>
    <row r="414">
      <c r="A414" s="75"/>
      <c r="B414" s="76"/>
      <c r="C414" s="76"/>
      <c r="D414" s="76"/>
      <c r="E414" s="77"/>
    </row>
    <row r="415">
      <c r="A415" s="75"/>
      <c r="B415" s="76"/>
      <c r="C415" s="76"/>
      <c r="D415" s="76"/>
      <c r="E415" s="77"/>
    </row>
    <row r="416">
      <c r="A416" s="75"/>
      <c r="B416" s="76"/>
      <c r="C416" s="76"/>
      <c r="D416" s="76"/>
      <c r="E416" s="77"/>
    </row>
    <row r="417">
      <c r="A417" s="75"/>
      <c r="B417" s="76"/>
      <c r="C417" s="76"/>
      <c r="D417" s="76"/>
      <c r="E417" s="77"/>
    </row>
    <row r="418">
      <c r="A418" s="75"/>
      <c r="B418" s="76"/>
      <c r="C418" s="76"/>
      <c r="D418" s="76"/>
      <c r="E418" s="77"/>
    </row>
    <row r="419">
      <c r="A419" s="75"/>
      <c r="B419" s="76"/>
      <c r="C419" s="76"/>
      <c r="D419" s="76"/>
      <c r="E419" s="77"/>
    </row>
    <row r="420">
      <c r="A420" s="75"/>
      <c r="B420" s="76"/>
      <c r="C420" s="76"/>
      <c r="D420" s="76"/>
      <c r="E420" s="77"/>
    </row>
    <row r="421">
      <c r="A421" s="75"/>
      <c r="B421" s="76"/>
      <c r="C421" s="76"/>
      <c r="D421" s="76"/>
      <c r="E421" s="77"/>
    </row>
    <row r="422">
      <c r="A422" s="75"/>
      <c r="B422" s="76"/>
      <c r="C422" s="76"/>
      <c r="D422" s="76"/>
      <c r="E422" s="77"/>
    </row>
    <row r="423">
      <c r="A423" s="75"/>
      <c r="B423" s="76"/>
      <c r="C423" s="76"/>
      <c r="D423" s="76"/>
      <c r="E423" s="77"/>
    </row>
    <row r="424">
      <c r="A424" s="75"/>
      <c r="B424" s="76"/>
      <c r="C424" s="76"/>
      <c r="D424" s="76"/>
      <c r="E424" s="77"/>
    </row>
    <row r="425">
      <c r="A425" s="75"/>
      <c r="B425" s="76"/>
      <c r="C425" s="76"/>
      <c r="D425" s="76"/>
      <c r="E425" s="77"/>
    </row>
    <row r="426">
      <c r="A426" s="75"/>
      <c r="B426" s="76"/>
      <c r="C426" s="76"/>
      <c r="D426" s="76"/>
      <c r="E426" s="77"/>
    </row>
    <row r="427">
      <c r="A427" s="75"/>
      <c r="B427" s="76"/>
      <c r="C427" s="76"/>
      <c r="D427" s="76"/>
      <c r="E427" s="77"/>
    </row>
    <row r="428">
      <c r="A428" s="75"/>
      <c r="B428" s="76"/>
      <c r="C428" s="76"/>
      <c r="D428" s="76"/>
      <c r="E428" s="77"/>
    </row>
    <row r="429">
      <c r="A429" s="75"/>
      <c r="B429" s="76"/>
      <c r="C429" s="76"/>
      <c r="D429" s="76"/>
      <c r="E429" s="77"/>
    </row>
    <row r="430">
      <c r="A430" s="75"/>
      <c r="B430" s="76"/>
      <c r="C430" s="76"/>
      <c r="D430" s="76"/>
      <c r="E430" s="77"/>
    </row>
    <row r="431">
      <c r="A431" s="75"/>
      <c r="B431" s="76"/>
      <c r="C431" s="76"/>
      <c r="D431" s="76"/>
      <c r="E431" s="77"/>
    </row>
    <row r="432">
      <c r="A432" s="75"/>
      <c r="B432" s="76"/>
      <c r="C432" s="76"/>
      <c r="D432" s="76"/>
      <c r="E432" s="77"/>
    </row>
    <row r="433">
      <c r="A433" s="75"/>
      <c r="B433" s="76"/>
      <c r="C433" s="76"/>
      <c r="D433" s="76"/>
      <c r="E433" s="77"/>
    </row>
    <row r="434">
      <c r="A434" s="75"/>
      <c r="B434" s="76"/>
      <c r="C434" s="76"/>
      <c r="D434" s="76"/>
      <c r="E434" s="77"/>
    </row>
    <row r="435">
      <c r="A435" s="75"/>
      <c r="B435" s="76"/>
      <c r="C435" s="76"/>
      <c r="D435" s="76"/>
      <c r="E435" s="77"/>
    </row>
    <row r="436">
      <c r="A436" s="75"/>
      <c r="B436" s="76"/>
      <c r="C436" s="76"/>
      <c r="D436" s="76"/>
      <c r="E436" s="77"/>
    </row>
    <row r="437">
      <c r="A437" s="75"/>
      <c r="B437" s="76"/>
      <c r="C437" s="76"/>
      <c r="D437" s="76"/>
      <c r="E437" s="77"/>
    </row>
    <row r="438">
      <c r="A438" s="75"/>
      <c r="B438" s="76"/>
      <c r="C438" s="76"/>
      <c r="D438" s="76"/>
      <c r="E438" s="77"/>
    </row>
    <row r="439">
      <c r="A439" s="75"/>
      <c r="B439" s="76"/>
      <c r="C439" s="76"/>
      <c r="D439" s="76"/>
      <c r="E439" s="77"/>
    </row>
    <row r="440">
      <c r="A440" s="75"/>
      <c r="B440" s="76"/>
      <c r="C440" s="76"/>
      <c r="D440" s="76"/>
      <c r="E440" s="77"/>
    </row>
    <row r="441">
      <c r="A441" s="75"/>
      <c r="B441" s="76"/>
      <c r="C441" s="76"/>
      <c r="D441" s="76"/>
      <c r="E441" s="77"/>
    </row>
    <row r="442">
      <c r="A442" s="75"/>
      <c r="B442" s="76"/>
      <c r="C442" s="76"/>
      <c r="D442" s="76"/>
      <c r="E442" s="77"/>
    </row>
    <row r="443">
      <c r="A443" s="75"/>
      <c r="B443" s="76"/>
      <c r="C443" s="76"/>
      <c r="D443" s="76"/>
      <c r="E443" s="77"/>
    </row>
    <row r="444">
      <c r="A444" s="75"/>
      <c r="B444" s="76"/>
      <c r="C444" s="76"/>
      <c r="D444" s="76"/>
      <c r="E444" s="77"/>
    </row>
    <row r="445">
      <c r="A445" s="75"/>
      <c r="B445" s="76"/>
      <c r="C445" s="76"/>
      <c r="D445" s="76"/>
      <c r="E445" s="77"/>
    </row>
    <row r="446">
      <c r="A446" s="75"/>
      <c r="B446" s="76"/>
      <c r="C446" s="76"/>
      <c r="D446" s="76"/>
      <c r="E446" s="77"/>
    </row>
    <row r="447">
      <c r="A447" s="75"/>
      <c r="B447" s="76"/>
      <c r="C447" s="76"/>
      <c r="D447" s="76"/>
      <c r="E447" s="77"/>
    </row>
    <row r="448">
      <c r="A448" s="75"/>
      <c r="B448" s="76"/>
      <c r="C448" s="76"/>
      <c r="D448" s="76"/>
      <c r="E448" s="77"/>
    </row>
    <row r="449">
      <c r="A449" s="75"/>
      <c r="B449" s="76"/>
      <c r="C449" s="76"/>
      <c r="D449" s="76"/>
      <c r="E449" s="77"/>
    </row>
    <row r="450">
      <c r="A450" s="75"/>
      <c r="B450" s="76"/>
      <c r="C450" s="76"/>
      <c r="D450" s="76"/>
      <c r="E450" s="77"/>
    </row>
    <row r="451">
      <c r="A451" s="75"/>
      <c r="B451" s="76"/>
      <c r="C451" s="76"/>
      <c r="D451" s="76"/>
      <c r="E451" s="77"/>
    </row>
    <row r="452">
      <c r="A452" s="75"/>
      <c r="B452" s="76"/>
      <c r="C452" s="76"/>
      <c r="D452" s="76"/>
      <c r="E452" s="77"/>
    </row>
    <row r="453">
      <c r="A453" s="75"/>
      <c r="B453" s="76"/>
      <c r="C453" s="76"/>
      <c r="D453" s="76"/>
      <c r="E453" s="77"/>
    </row>
    <row r="454">
      <c r="A454" s="75"/>
      <c r="B454" s="76"/>
      <c r="C454" s="76"/>
      <c r="D454" s="76"/>
      <c r="E454" s="77"/>
    </row>
    <row r="455">
      <c r="A455" s="75"/>
      <c r="B455" s="76"/>
      <c r="C455" s="76"/>
      <c r="D455" s="76"/>
      <c r="E455" s="77"/>
    </row>
    <row r="456">
      <c r="A456" s="75"/>
      <c r="B456" s="76"/>
      <c r="C456" s="76"/>
      <c r="D456" s="76"/>
      <c r="E456" s="77"/>
    </row>
    <row r="457">
      <c r="A457" s="75"/>
      <c r="B457" s="76"/>
      <c r="C457" s="76"/>
      <c r="D457" s="76"/>
      <c r="E457" s="77"/>
    </row>
    <row r="458">
      <c r="A458" s="75"/>
      <c r="B458" s="76"/>
      <c r="C458" s="76"/>
      <c r="D458" s="76"/>
      <c r="E458" s="77"/>
    </row>
    <row r="459">
      <c r="A459" s="75"/>
      <c r="B459" s="76"/>
      <c r="C459" s="76"/>
      <c r="D459" s="76"/>
      <c r="E459" s="77"/>
    </row>
    <row r="460">
      <c r="A460" s="75"/>
      <c r="B460" s="76"/>
      <c r="C460" s="76"/>
      <c r="D460" s="76"/>
      <c r="E460" s="77"/>
    </row>
    <row r="461">
      <c r="A461" s="75"/>
      <c r="B461" s="76"/>
      <c r="C461" s="76"/>
      <c r="D461" s="76"/>
      <c r="E461" s="77"/>
    </row>
    <row r="462">
      <c r="A462" s="75"/>
      <c r="B462" s="76"/>
      <c r="C462" s="76"/>
      <c r="D462" s="76"/>
      <c r="E462" s="77"/>
    </row>
    <row r="463">
      <c r="A463" s="75"/>
      <c r="B463" s="76"/>
      <c r="C463" s="76"/>
      <c r="D463" s="76"/>
      <c r="E463" s="77"/>
    </row>
    <row r="464">
      <c r="A464" s="75"/>
      <c r="B464" s="76"/>
      <c r="C464" s="76"/>
      <c r="D464" s="76"/>
      <c r="E464" s="77"/>
    </row>
    <row r="465">
      <c r="A465" s="75"/>
      <c r="B465" s="76"/>
      <c r="C465" s="76"/>
      <c r="D465" s="76"/>
      <c r="E465" s="77"/>
    </row>
    <row r="466">
      <c r="A466" s="75"/>
      <c r="B466" s="76"/>
      <c r="C466" s="76"/>
      <c r="D466" s="76"/>
      <c r="E466" s="77"/>
    </row>
    <row r="467">
      <c r="A467" s="75"/>
      <c r="B467" s="76"/>
      <c r="C467" s="76"/>
      <c r="D467" s="76"/>
      <c r="E467" s="77"/>
    </row>
    <row r="468">
      <c r="A468" s="75"/>
      <c r="B468" s="76"/>
      <c r="C468" s="76"/>
      <c r="D468" s="76"/>
      <c r="E468" s="77"/>
    </row>
    <row r="469">
      <c r="A469" s="75"/>
      <c r="B469" s="76"/>
      <c r="C469" s="76"/>
      <c r="D469" s="76"/>
      <c r="E469" s="77"/>
    </row>
    <row r="470">
      <c r="A470" s="75"/>
      <c r="B470" s="76"/>
      <c r="C470" s="76"/>
      <c r="D470" s="76"/>
      <c r="E470" s="77"/>
    </row>
    <row r="471">
      <c r="A471" s="75"/>
      <c r="B471" s="76"/>
      <c r="C471" s="76"/>
      <c r="D471" s="76"/>
      <c r="E471" s="77"/>
    </row>
    <row r="472">
      <c r="A472" s="75"/>
      <c r="B472" s="76"/>
      <c r="C472" s="76"/>
      <c r="D472" s="76"/>
      <c r="E472" s="77"/>
    </row>
    <row r="473">
      <c r="A473" s="75"/>
      <c r="B473" s="76"/>
      <c r="C473" s="76"/>
      <c r="D473" s="76"/>
      <c r="E473" s="77"/>
    </row>
    <row r="474">
      <c r="A474" s="75"/>
      <c r="B474" s="76"/>
      <c r="C474" s="76"/>
      <c r="D474" s="76"/>
      <c r="E474" s="77"/>
    </row>
    <row r="475">
      <c r="A475" s="75"/>
      <c r="B475" s="76"/>
      <c r="C475" s="76"/>
      <c r="D475" s="76"/>
      <c r="E475" s="77"/>
    </row>
    <row r="476">
      <c r="A476" s="75"/>
      <c r="B476" s="76"/>
      <c r="C476" s="76"/>
      <c r="D476" s="76"/>
      <c r="E476" s="77"/>
    </row>
    <row r="477">
      <c r="A477" s="75"/>
      <c r="B477" s="76"/>
      <c r="C477" s="76"/>
      <c r="D477" s="76"/>
      <c r="E477" s="77"/>
    </row>
    <row r="478">
      <c r="A478" s="75"/>
      <c r="B478" s="76"/>
      <c r="C478" s="76"/>
      <c r="D478" s="76"/>
      <c r="E478" s="77"/>
    </row>
    <row r="479">
      <c r="A479" s="75"/>
      <c r="B479" s="76"/>
      <c r="C479" s="76"/>
      <c r="D479" s="76"/>
      <c r="E479" s="77"/>
    </row>
    <row r="480">
      <c r="A480" s="75"/>
      <c r="B480" s="76"/>
      <c r="C480" s="76"/>
      <c r="D480" s="76"/>
      <c r="E480" s="77"/>
    </row>
    <row r="481">
      <c r="A481" s="75"/>
      <c r="B481" s="76"/>
      <c r="C481" s="76"/>
      <c r="D481" s="76"/>
      <c r="E481" s="77"/>
    </row>
    <row r="482">
      <c r="A482" s="75"/>
      <c r="B482" s="76"/>
      <c r="C482" s="76"/>
      <c r="D482" s="76"/>
      <c r="E482" s="77"/>
    </row>
    <row r="483">
      <c r="A483" s="75"/>
      <c r="B483" s="76"/>
      <c r="C483" s="76"/>
      <c r="D483" s="76"/>
      <c r="E483" s="77"/>
    </row>
    <row r="484">
      <c r="A484" s="75"/>
      <c r="B484" s="76"/>
      <c r="C484" s="76"/>
      <c r="D484" s="76"/>
      <c r="E484" s="77"/>
    </row>
    <row r="485">
      <c r="A485" s="75"/>
      <c r="B485" s="76"/>
      <c r="C485" s="76"/>
      <c r="D485" s="76"/>
      <c r="E485" s="77"/>
    </row>
    <row r="486">
      <c r="A486" s="75"/>
      <c r="B486" s="76"/>
      <c r="C486" s="76"/>
      <c r="D486" s="76"/>
      <c r="E486" s="77"/>
    </row>
    <row r="487">
      <c r="A487" s="75"/>
      <c r="B487" s="76"/>
      <c r="C487" s="76"/>
      <c r="D487" s="76"/>
      <c r="E487" s="77"/>
    </row>
    <row r="488">
      <c r="A488" s="75"/>
      <c r="B488" s="76"/>
      <c r="C488" s="76"/>
      <c r="D488" s="76"/>
      <c r="E488" s="77"/>
    </row>
    <row r="489">
      <c r="A489" s="75"/>
      <c r="B489" s="76"/>
      <c r="C489" s="76"/>
      <c r="D489" s="76"/>
      <c r="E489" s="77"/>
    </row>
    <row r="490">
      <c r="A490" s="75"/>
      <c r="B490" s="76"/>
      <c r="C490" s="76"/>
      <c r="D490" s="76"/>
      <c r="E490" s="77"/>
    </row>
    <row r="491">
      <c r="A491" s="75"/>
      <c r="B491" s="76"/>
      <c r="C491" s="76"/>
      <c r="D491" s="76"/>
      <c r="E491" s="77"/>
    </row>
    <row r="492">
      <c r="A492" s="75"/>
      <c r="B492" s="76"/>
      <c r="C492" s="76"/>
      <c r="D492" s="76"/>
      <c r="E492" s="77"/>
    </row>
    <row r="493">
      <c r="A493" s="75"/>
      <c r="B493" s="76"/>
      <c r="C493" s="76"/>
      <c r="D493" s="76"/>
      <c r="E493" s="77"/>
    </row>
    <row r="494">
      <c r="A494" s="75"/>
      <c r="B494" s="76"/>
      <c r="C494" s="76"/>
      <c r="D494" s="76"/>
      <c r="E494" s="77"/>
    </row>
    <row r="495">
      <c r="A495" s="75"/>
      <c r="B495" s="76"/>
      <c r="C495" s="76"/>
      <c r="D495" s="76"/>
      <c r="E495" s="77"/>
    </row>
    <row r="496">
      <c r="A496" s="75"/>
      <c r="B496" s="76"/>
      <c r="C496" s="76"/>
      <c r="D496" s="76"/>
      <c r="E496" s="77"/>
    </row>
    <row r="497">
      <c r="A497" s="75"/>
      <c r="B497" s="76"/>
      <c r="C497" s="76"/>
      <c r="D497" s="76"/>
      <c r="E497" s="77"/>
    </row>
    <row r="498">
      <c r="A498" s="75"/>
      <c r="B498" s="76"/>
      <c r="C498" s="76"/>
      <c r="D498" s="76"/>
      <c r="E498" s="77"/>
    </row>
    <row r="499">
      <c r="A499" s="75"/>
      <c r="B499" s="76"/>
      <c r="C499" s="76"/>
      <c r="D499" s="76"/>
      <c r="E499" s="77"/>
    </row>
    <row r="500">
      <c r="A500" s="75"/>
      <c r="B500" s="76"/>
      <c r="C500" s="76"/>
      <c r="D500" s="76"/>
      <c r="E500" s="77"/>
    </row>
    <row r="501">
      <c r="A501" s="75"/>
      <c r="B501" s="76"/>
      <c r="C501" s="76"/>
      <c r="D501" s="76"/>
      <c r="E501" s="77"/>
    </row>
    <row r="502">
      <c r="A502" s="75"/>
      <c r="B502" s="76"/>
      <c r="C502" s="76"/>
      <c r="D502" s="76"/>
      <c r="E502" s="77"/>
    </row>
    <row r="503">
      <c r="A503" s="75"/>
      <c r="B503" s="76"/>
      <c r="C503" s="76"/>
      <c r="D503" s="76"/>
      <c r="E503" s="77"/>
    </row>
    <row r="504">
      <c r="A504" s="75"/>
      <c r="B504" s="76"/>
      <c r="C504" s="76"/>
      <c r="D504" s="76"/>
      <c r="E504" s="77"/>
    </row>
    <row r="505">
      <c r="A505" s="75"/>
      <c r="B505" s="76"/>
      <c r="C505" s="76"/>
      <c r="D505" s="76"/>
      <c r="E505" s="77"/>
    </row>
    <row r="506">
      <c r="A506" s="75"/>
      <c r="B506" s="76"/>
      <c r="C506" s="76"/>
      <c r="D506" s="76"/>
      <c r="E506" s="77"/>
    </row>
    <row r="507">
      <c r="A507" s="75"/>
      <c r="B507" s="76"/>
      <c r="C507" s="76"/>
      <c r="D507" s="76"/>
      <c r="E507" s="77"/>
    </row>
    <row r="508">
      <c r="A508" s="75"/>
      <c r="B508" s="76"/>
      <c r="C508" s="76"/>
      <c r="D508" s="76"/>
      <c r="E508" s="77"/>
    </row>
    <row r="509">
      <c r="A509" s="75"/>
      <c r="B509" s="76"/>
      <c r="C509" s="76"/>
      <c r="D509" s="76"/>
      <c r="E509" s="77"/>
    </row>
    <row r="510">
      <c r="A510" s="75"/>
      <c r="B510" s="76"/>
      <c r="C510" s="76"/>
      <c r="D510" s="76"/>
      <c r="E510" s="77"/>
    </row>
    <row r="511">
      <c r="A511" s="75"/>
      <c r="B511" s="76"/>
      <c r="C511" s="76"/>
      <c r="D511" s="76"/>
      <c r="E511" s="77"/>
    </row>
    <row r="512">
      <c r="A512" s="75"/>
      <c r="B512" s="76"/>
      <c r="C512" s="76"/>
      <c r="D512" s="76"/>
      <c r="E512" s="77"/>
    </row>
    <row r="513">
      <c r="A513" s="75"/>
      <c r="B513" s="76"/>
      <c r="C513" s="76"/>
      <c r="D513" s="76"/>
      <c r="E513" s="77"/>
    </row>
    <row r="514">
      <c r="A514" s="75"/>
      <c r="B514" s="76"/>
      <c r="C514" s="76"/>
      <c r="D514" s="76"/>
      <c r="E514" s="77"/>
    </row>
    <row r="515">
      <c r="A515" s="75"/>
      <c r="B515" s="76"/>
      <c r="C515" s="76"/>
      <c r="D515" s="76"/>
      <c r="E515" s="77"/>
    </row>
    <row r="516">
      <c r="A516" s="75"/>
      <c r="B516" s="76"/>
      <c r="C516" s="76"/>
      <c r="D516" s="76"/>
      <c r="E516" s="77"/>
    </row>
    <row r="517">
      <c r="A517" s="75"/>
      <c r="B517" s="76"/>
      <c r="C517" s="76"/>
      <c r="D517" s="76"/>
      <c r="E517" s="77"/>
    </row>
    <row r="518">
      <c r="A518" s="75"/>
      <c r="B518" s="76"/>
      <c r="C518" s="76"/>
      <c r="D518" s="76"/>
      <c r="E518" s="77"/>
    </row>
    <row r="519">
      <c r="A519" s="75"/>
      <c r="B519" s="76"/>
      <c r="C519" s="76"/>
      <c r="D519" s="76"/>
      <c r="E519" s="77"/>
    </row>
    <row r="520">
      <c r="A520" s="75"/>
      <c r="B520" s="76"/>
      <c r="C520" s="76"/>
      <c r="D520" s="76"/>
      <c r="E520" s="77"/>
    </row>
    <row r="521">
      <c r="A521" s="75"/>
      <c r="B521" s="76"/>
      <c r="C521" s="76"/>
      <c r="D521" s="76"/>
      <c r="E521" s="77"/>
    </row>
    <row r="522">
      <c r="A522" s="75"/>
      <c r="B522" s="76"/>
      <c r="C522" s="76"/>
      <c r="D522" s="76"/>
      <c r="E522" s="77"/>
    </row>
    <row r="523">
      <c r="A523" s="75"/>
      <c r="B523" s="76"/>
      <c r="C523" s="76"/>
      <c r="D523" s="76"/>
      <c r="E523" s="77"/>
    </row>
    <row r="524">
      <c r="A524" s="75"/>
      <c r="B524" s="76"/>
      <c r="C524" s="76"/>
      <c r="D524" s="76"/>
      <c r="E524" s="77"/>
    </row>
    <row r="525">
      <c r="A525" s="75"/>
      <c r="B525" s="76"/>
      <c r="C525" s="76"/>
      <c r="D525" s="76"/>
      <c r="E525" s="77"/>
    </row>
    <row r="526">
      <c r="A526" s="75"/>
      <c r="B526" s="76"/>
      <c r="C526" s="76"/>
      <c r="D526" s="76"/>
      <c r="E526" s="77"/>
    </row>
    <row r="527">
      <c r="A527" s="75"/>
      <c r="B527" s="76"/>
      <c r="C527" s="76"/>
      <c r="D527" s="76"/>
      <c r="E527" s="77"/>
    </row>
    <row r="528">
      <c r="A528" s="75"/>
      <c r="B528" s="76"/>
      <c r="C528" s="76"/>
      <c r="D528" s="76"/>
      <c r="E528" s="77"/>
    </row>
    <row r="529">
      <c r="A529" s="75"/>
      <c r="B529" s="76"/>
      <c r="C529" s="76"/>
      <c r="D529" s="76"/>
      <c r="E529" s="77"/>
    </row>
    <row r="530">
      <c r="A530" s="75"/>
      <c r="B530" s="76"/>
      <c r="C530" s="76"/>
      <c r="D530" s="76"/>
      <c r="E530" s="77"/>
    </row>
    <row r="531">
      <c r="A531" s="75"/>
      <c r="B531" s="76"/>
      <c r="C531" s="76"/>
      <c r="D531" s="76"/>
      <c r="E531" s="77"/>
    </row>
    <row r="532">
      <c r="A532" s="75"/>
      <c r="B532" s="76"/>
      <c r="C532" s="76"/>
      <c r="D532" s="76"/>
      <c r="E532" s="77"/>
    </row>
    <row r="533">
      <c r="A533" s="75"/>
      <c r="B533" s="76"/>
      <c r="C533" s="76"/>
      <c r="D533" s="76"/>
      <c r="E533" s="77"/>
    </row>
    <row r="534">
      <c r="A534" s="75"/>
      <c r="B534" s="76"/>
      <c r="C534" s="76"/>
      <c r="D534" s="76"/>
      <c r="E534" s="77"/>
    </row>
    <row r="535">
      <c r="A535" s="75"/>
      <c r="B535" s="76"/>
      <c r="C535" s="76"/>
      <c r="D535" s="76"/>
      <c r="E535" s="77"/>
    </row>
    <row r="536">
      <c r="A536" s="75"/>
      <c r="B536" s="76"/>
      <c r="C536" s="76"/>
      <c r="D536" s="76"/>
      <c r="E536" s="77"/>
    </row>
    <row r="537">
      <c r="A537" s="75"/>
      <c r="B537" s="76"/>
      <c r="C537" s="76"/>
      <c r="D537" s="76"/>
      <c r="E537" s="77"/>
    </row>
    <row r="538">
      <c r="A538" s="75"/>
      <c r="B538" s="76"/>
      <c r="C538" s="76"/>
      <c r="D538" s="76"/>
      <c r="E538" s="77"/>
    </row>
    <row r="539">
      <c r="A539" s="75"/>
      <c r="B539" s="76"/>
      <c r="C539" s="76"/>
      <c r="D539" s="76"/>
      <c r="E539" s="77"/>
    </row>
    <row r="540">
      <c r="A540" s="75"/>
      <c r="B540" s="76"/>
      <c r="C540" s="76"/>
      <c r="D540" s="76"/>
      <c r="E540" s="77"/>
    </row>
    <row r="541">
      <c r="A541" s="75"/>
      <c r="B541" s="76"/>
      <c r="C541" s="76"/>
      <c r="D541" s="76"/>
      <c r="E541" s="77"/>
    </row>
    <row r="542">
      <c r="A542" s="75"/>
      <c r="B542" s="76"/>
      <c r="C542" s="76"/>
      <c r="D542" s="76"/>
      <c r="E542" s="77"/>
    </row>
    <row r="543">
      <c r="A543" s="75"/>
      <c r="B543" s="76"/>
      <c r="C543" s="76"/>
      <c r="D543" s="76"/>
      <c r="E543" s="77"/>
    </row>
    <row r="544">
      <c r="A544" s="75"/>
      <c r="B544" s="76"/>
      <c r="C544" s="76"/>
      <c r="D544" s="76"/>
      <c r="E544" s="77"/>
    </row>
    <row r="545">
      <c r="A545" s="75"/>
      <c r="B545" s="76"/>
      <c r="C545" s="76"/>
      <c r="D545" s="76"/>
      <c r="E545" s="77"/>
    </row>
    <row r="546">
      <c r="A546" s="75"/>
      <c r="B546" s="76"/>
      <c r="C546" s="76"/>
      <c r="D546" s="76"/>
      <c r="E546" s="77"/>
    </row>
    <row r="547">
      <c r="A547" s="75"/>
      <c r="B547" s="76"/>
      <c r="C547" s="76"/>
      <c r="D547" s="76"/>
      <c r="E547" s="77"/>
    </row>
    <row r="548">
      <c r="A548" s="75"/>
      <c r="B548" s="76"/>
      <c r="C548" s="76"/>
      <c r="D548" s="76"/>
      <c r="E548" s="77"/>
    </row>
    <row r="549">
      <c r="A549" s="75"/>
      <c r="B549" s="76"/>
      <c r="C549" s="76"/>
      <c r="D549" s="76"/>
      <c r="E549" s="77"/>
    </row>
    <row r="550">
      <c r="A550" s="75"/>
      <c r="B550" s="76"/>
      <c r="C550" s="76"/>
      <c r="D550" s="76"/>
      <c r="E550" s="77"/>
    </row>
    <row r="551">
      <c r="A551" s="75"/>
      <c r="B551" s="76"/>
      <c r="C551" s="76"/>
      <c r="D551" s="76"/>
      <c r="E551" s="77"/>
    </row>
    <row r="552">
      <c r="A552" s="75"/>
      <c r="B552" s="76"/>
      <c r="C552" s="76"/>
      <c r="D552" s="76"/>
      <c r="E552" s="77"/>
    </row>
    <row r="553">
      <c r="A553" s="75"/>
      <c r="B553" s="76"/>
      <c r="C553" s="76"/>
      <c r="D553" s="76"/>
      <c r="E553" s="77"/>
    </row>
    <row r="554">
      <c r="A554" s="75"/>
      <c r="B554" s="76"/>
      <c r="C554" s="76"/>
      <c r="D554" s="76"/>
      <c r="E554" s="77"/>
    </row>
    <row r="555">
      <c r="A555" s="75"/>
      <c r="B555" s="76"/>
      <c r="C555" s="76"/>
      <c r="D555" s="76"/>
      <c r="E555" s="77"/>
    </row>
    <row r="556">
      <c r="A556" s="75"/>
      <c r="B556" s="76"/>
      <c r="C556" s="76"/>
      <c r="D556" s="76"/>
      <c r="E556" s="77"/>
    </row>
    <row r="557">
      <c r="A557" s="75"/>
      <c r="B557" s="76"/>
      <c r="C557" s="76"/>
      <c r="D557" s="76"/>
      <c r="E557" s="77"/>
    </row>
    <row r="558">
      <c r="A558" s="75"/>
      <c r="B558" s="76"/>
      <c r="C558" s="76"/>
      <c r="D558" s="76"/>
      <c r="E558" s="77"/>
    </row>
    <row r="559">
      <c r="A559" s="75"/>
      <c r="B559" s="76"/>
      <c r="C559" s="76"/>
      <c r="D559" s="76"/>
      <c r="E559" s="77"/>
    </row>
    <row r="560">
      <c r="A560" s="75"/>
      <c r="B560" s="76"/>
      <c r="C560" s="76"/>
      <c r="D560" s="76"/>
      <c r="E560" s="77"/>
    </row>
    <row r="561">
      <c r="A561" s="75"/>
      <c r="B561" s="76"/>
      <c r="C561" s="76"/>
      <c r="D561" s="76"/>
      <c r="E561" s="77"/>
    </row>
    <row r="562">
      <c r="A562" s="75"/>
      <c r="B562" s="76"/>
      <c r="C562" s="76"/>
      <c r="D562" s="76"/>
      <c r="E562" s="77"/>
    </row>
    <row r="563">
      <c r="A563" s="75"/>
      <c r="B563" s="76"/>
      <c r="C563" s="76"/>
      <c r="D563" s="76"/>
      <c r="E563" s="77"/>
    </row>
    <row r="564">
      <c r="A564" s="75"/>
      <c r="B564" s="76"/>
      <c r="C564" s="76"/>
      <c r="D564" s="76"/>
      <c r="E564" s="77"/>
    </row>
    <row r="565">
      <c r="A565" s="75"/>
      <c r="B565" s="76"/>
      <c r="C565" s="76"/>
      <c r="D565" s="76"/>
      <c r="E565" s="77"/>
    </row>
    <row r="566">
      <c r="A566" s="75"/>
      <c r="B566" s="76"/>
      <c r="C566" s="76"/>
      <c r="D566" s="76"/>
      <c r="E566" s="77"/>
    </row>
    <row r="567">
      <c r="A567" s="75"/>
      <c r="B567" s="76"/>
      <c r="C567" s="76"/>
      <c r="D567" s="76"/>
      <c r="E567" s="77"/>
    </row>
    <row r="568">
      <c r="A568" s="75"/>
      <c r="B568" s="76"/>
      <c r="C568" s="76"/>
      <c r="D568" s="76"/>
      <c r="E568" s="77"/>
    </row>
    <row r="569">
      <c r="A569" s="75"/>
      <c r="B569" s="76"/>
      <c r="C569" s="76"/>
      <c r="D569" s="76"/>
      <c r="E569" s="77"/>
    </row>
    <row r="570">
      <c r="A570" s="75"/>
      <c r="B570" s="76"/>
      <c r="C570" s="76"/>
      <c r="D570" s="76"/>
      <c r="E570" s="77"/>
    </row>
    <row r="571">
      <c r="A571" s="75"/>
      <c r="B571" s="76"/>
      <c r="C571" s="76"/>
      <c r="D571" s="76"/>
      <c r="E571" s="77"/>
    </row>
    <row r="572">
      <c r="A572" s="75"/>
      <c r="B572" s="76"/>
      <c r="C572" s="76"/>
      <c r="D572" s="76"/>
      <c r="E572" s="77"/>
    </row>
    <row r="573">
      <c r="A573" s="75"/>
      <c r="B573" s="76"/>
      <c r="C573" s="76"/>
      <c r="D573" s="76"/>
      <c r="E573" s="77"/>
    </row>
    <row r="574">
      <c r="A574" s="75"/>
      <c r="B574" s="76"/>
      <c r="C574" s="76"/>
      <c r="D574" s="76"/>
      <c r="E574" s="77"/>
    </row>
    <row r="575">
      <c r="A575" s="75"/>
      <c r="B575" s="76"/>
      <c r="C575" s="76"/>
      <c r="D575" s="76"/>
      <c r="E575" s="77"/>
    </row>
    <row r="576">
      <c r="A576" s="75"/>
      <c r="B576" s="76"/>
      <c r="C576" s="76"/>
      <c r="D576" s="76"/>
      <c r="E576" s="77"/>
    </row>
    <row r="577">
      <c r="A577" s="75"/>
      <c r="B577" s="76"/>
      <c r="C577" s="76"/>
      <c r="D577" s="76"/>
      <c r="E577" s="77"/>
    </row>
    <row r="578">
      <c r="A578" s="75"/>
      <c r="B578" s="76"/>
      <c r="C578" s="76"/>
      <c r="D578" s="76"/>
      <c r="E578" s="77"/>
    </row>
    <row r="579">
      <c r="A579" s="75"/>
      <c r="B579" s="76"/>
      <c r="C579" s="76"/>
      <c r="D579" s="76"/>
      <c r="E579" s="77"/>
    </row>
    <row r="580">
      <c r="A580" s="75"/>
      <c r="B580" s="76"/>
      <c r="C580" s="76"/>
      <c r="D580" s="76"/>
      <c r="E580" s="77"/>
    </row>
    <row r="581">
      <c r="A581" s="75"/>
      <c r="B581" s="76"/>
      <c r="C581" s="76"/>
      <c r="D581" s="76"/>
      <c r="E581" s="77"/>
    </row>
    <row r="582">
      <c r="A582" s="75"/>
      <c r="B582" s="76"/>
      <c r="C582" s="76"/>
      <c r="D582" s="76"/>
      <c r="E582" s="77"/>
    </row>
    <row r="583">
      <c r="A583" s="75"/>
      <c r="B583" s="76"/>
      <c r="C583" s="76"/>
      <c r="D583" s="76"/>
      <c r="E583" s="77"/>
    </row>
    <row r="584">
      <c r="A584" s="75"/>
      <c r="B584" s="76"/>
      <c r="C584" s="76"/>
      <c r="D584" s="76"/>
      <c r="E584" s="77"/>
    </row>
    <row r="585">
      <c r="A585" s="75"/>
      <c r="B585" s="76"/>
      <c r="C585" s="76"/>
      <c r="D585" s="76"/>
      <c r="E585" s="77"/>
    </row>
    <row r="586">
      <c r="A586" s="75"/>
      <c r="B586" s="76"/>
      <c r="C586" s="76"/>
      <c r="D586" s="76"/>
      <c r="E586" s="77"/>
    </row>
    <row r="587">
      <c r="A587" s="75"/>
      <c r="B587" s="76"/>
      <c r="C587" s="76"/>
      <c r="D587" s="76"/>
      <c r="E587" s="77"/>
    </row>
    <row r="588">
      <c r="A588" s="75"/>
      <c r="B588" s="76"/>
      <c r="C588" s="76"/>
      <c r="D588" s="76"/>
      <c r="E588" s="77"/>
    </row>
    <row r="589">
      <c r="A589" s="75"/>
      <c r="B589" s="76"/>
      <c r="C589" s="76"/>
      <c r="D589" s="76"/>
      <c r="E589" s="77"/>
    </row>
    <row r="590">
      <c r="A590" s="75"/>
      <c r="B590" s="76"/>
      <c r="C590" s="76"/>
      <c r="D590" s="76"/>
      <c r="E590" s="77"/>
    </row>
    <row r="591">
      <c r="A591" s="75"/>
      <c r="B591" s="76"/>
      <c r="C591" s="76"/>
      <c r="D591" s="76"/>
      <c r="E591" s="77"/>
    </row>
    <row r="592">
      <c r="A592" s="75"/>
      <c r="B592" s="76"/>
      <c r="C592" s="76"/>
      <c r="D592" s="76"/>
      <c r="E592" s="77"/>
    </row>
    <row r="593">
      <c r="A593" s="75"/>
      <c r="B593" s="76"/>
      <c r="C593" s="76"/>
      <c r="D593" s="76"/>
      <c r="E593" s="77"/>
    </row>
    <row r="594">
      <c r="A594" s="75"/>
      <c r="B594" s="76"/>
      <c r="C594" s="76"/>
      <c r="D594" s="76"/>
      <c r="E594" s="77"/>
    </row>
    <row r="595">
      <c r="A595" s="75"/>
      <c r="B595" s="76"/>
      <c r="C595" s="76"/>
      <c r="D595" s="76"/>
      <c r="E595" s="77"/>
    </row>
    <row r="596">
      <c r="A596" s="75"/>
      <c r="B596" s="76"/>
      <c r="C596" s="76"/>
      <c r="D596" s="76"/>
      <c r="E596" s="77"/>
    </row>
    <row r="597">
      <c r="A597" s="75"/>
      <c r="B597" s="76"/>
      <c r="C597" s="76"/>
      <c r="D597" s="76"/>
      <c r="E597" s="77"/>
    </row>
    <row r="598">
      <c r="A598" s="75"/>
      <c r="B598" s="76"/>
      <c r="C598" s="76"/>
      <c r="D598" s="76"/>
      <c r="E598" s="77"/>
    </row>
    <row r="599">
      <c r="A599" s="75"/>
      <c r="B599" s="76"/>
      <c r="C599" s="76"/>
      <c r="D599" s="76"/>
      <c r="E599" s="77"/>
    </row>
    <row r="600">
      <c r="A600" s="75"/>
      <c r="B600" s="76"/>
      <c r="C600" s="76"/>
      <c r="D600" s="76"/>
      <c r="E600" s="77"/>
    </row>
    <row r="601">
      <c r="A601" s="75"/>
      <c r="B601" s="76"/>
      <c r="C601" s="76"/>
      <c r="D601" s="76"/>
      <c r="E601" s="77"/>
    </row>
    <row r="602">
      <c r="A602" s="75"/>
      <c r="B602" s="76"/>
      <c r="C602" s="76"/>
      <c r="D602" s="76"/>
      <c r="E602" s="77"/>
    </row>
    <row r="603">
      <c r="A603" s="75"/>
      <c r="B603" s="76"/>
      <c r="C603" s="76"/>
      <c r="D603" s="76"/>
      <c r="E603" s="77"/>
    </row>
    <row r="604">
      <c r="A604" s="75"/>
      <c r="B604" s="76"/>
      <c r="C604" s="76"/>
      <c r="D604" s="76"/>
      <c r="E604" s="77"/>
    </row>
    <row r="605">
      <c r="A605" s="75"/>
      <c r="B605" s="76"/>
      <c r="C605" s="76"/>
      <c r="D605" s="76"/>
      <c r="E605" s="77"/>
    </row>
    <row r="606">
      <c r="A606" s="75"/>
      <c r="B606" s="76"/>
      <c r="C606" s="76"/>
      <c r="D606" s="76"/>
      <c r="E606" s="77"/>
    </row>
    <row r="607">
      <c r="A607" s="75"/>
      <c r="B607" s="76"/>
      <c r="C607" s="76"/>
      <c r="D607" s="76"/>
      <c r="E607" s="77"/>
    </row>
    <row r="608">
      <c r="A608" s="75"/>
      <c r="B608" s="76"/>
      <c r="C608" s="76"/>
      <c r="D608" s="76"/>
      <c r="E608" s="77"/>
    </row>
    <row r="609">
      <c r="A609" s="75"/>
      <c r="B609" s="76"/>
      <c r="C609" s="76"/>
      <c r="D609" s="76"/>
      <c r="E609" s="77"/>
    </row>
    <row r="610">
      <c r="A610" s="75"/>
      <c r="B610" s="76"/>
      <c r="C610" s="76"/>
      <c r="D610" s="76"/>
      <c r="E610" s="77"/>
    </row>
    <row r="611">
      <c r="A611" s="75"/>
      <c r="B611" s="76"/>
      <c r="C611" s="76"/>
      <c r="D611" s="76"/>
      <c r="E611" s="77"/>
    </row>
    <row r="612">
      <c r="A612" s="75"/>
      <c r="B612" s="76"/>
      <c r="C612" s="76"/>
      <c r="D612" s="76"/>
      <c r="E612" s="77"/>
    </row>
    <row r="613">
      <c r="A613" s="75"/>
      <c r="B613" s="76"/>
      <c r="C613" s="76"/>
      <c r="D613" s="76"/>
      <c r="E613" s="77"/>
    </row>
    <row r="614">
      <c r="A614" s="75"/>
      <c r="B614" s="76"/>
      <c r="C614" s="76"/>
      <c r="D614" s="76"/>
      <c r="E614" s="77"/>
    </row>
    <row r="615">
      <c r="A615" s="75"/>
      <c r="B615" s="76"/>
      <c r="C615" s="76"/>
      <c r="D615" s="76"/>
      <c r="E615" s="77"/>
    </row>
    <row r="616">
      <c r="A616" s="75"/>
      <c r="B616" s="76"/>
      <c r="C616" s="76"/>
      <c r="D616" s="76"/>
      <c r="E616" s="77"/>
    </row>
    <row r="617">
      <c r="A617" s="75"/>
      <c r="B617" s="76"/>
      <c r="C617" s="76"/>
      <c r="D617" s="76"/>
      <c r="E617" s="77"/>
    </row>
    <row r="618">
      <c r="A618" s="75"/>
      <c r="B618" s="76"/>
      <c r="C618" s="76"/>
      <c r="D618" s="76"/>
      <c r="E618" s="77"/>
    </row>
    <row r="619">
      <c r="A619" s="75"/>
      <c r="B619" s="76"/>
      <c r="C619" s="76"/>
      <c r="D619" s="76"/>
      <c r="E619" s="77"/>
    </row>
    <row r="620">
      <c r="A620" s="75"/>
      <c r="B620" s="76"/>
      <c r="C620" s="76"/>
      <c r="D620" s="76"/>
      <c r="E620" s="77"/>
    </row>
    <row r="621">
      <c r="A621" s="75"/>
      <c r="B621" s="76"/>
      <c r="C621" s="76"/>
      <c r="D621" s="76"/>
      <c r="E621" s="77"/>
    </row>
    <row r="622">
      <c r="A622" s="75"/>
      <c r="B622" s="76"/>
      <c r="C622" s="76"/>
      <c r="D622" s="76"/>
      <c r="E622" s="77"/>
    </row>
    <row r="623">
      <c r="A623" s="75"/>
      <c r="B623" s="76"/>
      <c r="C623" s="76"/>
      <c r="D623" s="76"/>
      <c r="E623" s="77"/>
    </row>
    <row r="624">
      <c r="A624" s="75"/>
      <c r="B624" s="76"/>
      <c r="C624" s="76"/>
      <c r="D624" s="76"/>
      <c r="E624" s="77"/>
    </row>
    <row r="625">
      <c r="A625" s="75"/>
      <c r="B625" s="76"/>
      <c r="C625" s="76"/>
      <c r="D625" s="76"/>
      <c r="E625" s="77"/>
    </row>
    <row r="626">
      <c r="A626" s="75"/>
      <c r="B626" s="76"/>
      <c r="C626" s="76"/>
      <c r="D626" s="76"/>
      <c r="E626" s="77"/>
    </row>
    <row r="627">
      <c r="A627" s="75"/>
      <c r="B627" s="76"/>
      <c r="C627" s="76"/>
      <c r="D627" s="76"/>
      <c r="E627" s="77"/>
    </row>
    <row r="628">
      <c r="A628" s="75"/>
      <c r="B628" s="76"/>
      <c r="C628" s="76"/>
      <c r="D628" s="76"/>
      <c r="E628" s="77"/>
    </row>
    <row r="629">
      <c r="A629" s="75"/>
      <c r="B629" s="76"/>
      <c r="C629" s="76"/>
      <c r="D629" s="76"/>
      <c r="E629" s="77"/>
    </row>
    <row r="630">
      <c r="A630" s="75"/>
      <c r="B630" s="76"/>
      <c r="C630" s="76"/>
      <c r="D630" s="76"/>
      <c r="E630" s="77"/>
    </row>
    <row r="631">
      <c r="A631" s="75"/>
      <c r="B631" s="76"/>
      <c r="C631" s="76"/>
      <c r="D631" s="76"/>
      <c r="E631" s="77"/>
    </row>
    <row r="632">
      <c r="A632" s="75"/>
      <c r="B632" s="76"/>
      <c r="C632" s="76"/>
      <c r="D632" s="76"/>
      <c r="E632" s="77"/>
    </row>
    <row r="633">
      <c r="A633" s="75"/>
      <c r="B633" s="76"/>
      <c r="C633" s="76"/>
      <c r="D633" s="76"/>
      <c r="E633" s="77"/>
    </row>
    <row r="634">
      <c r="A634" s="75"/>
      <c r="B634" s="76"/>
      <c r="C634" s="76"/>
      <c r="D634" s="76"/>
      <c r="E634" s="77"/>
    </row>
    <row r="635">
      <c r="A635" s="75"/>
      <c r="B635" s="76"/>
      <c r="C635" s="76"/>
      <c r="D635" s="76"/>
      <c r="E635" s="77"/>
    </row>
    <row r="636">
      <c r="A636" s="75"/>
      <c r="B636" s="76"/>
      <c r="C636" s="76"/>
      <c r="D636" s="76"/>
      <c r="E636" s="77"/>
    </row>
    <row r="637">
      <c r="A637" s="75"/>
      <c r="B637" s="76"/>
      <c r="C637" s="76"/>
      <c r="D637" s="76"/>
      <c r="E637" s="77"/>
    </row>
    <row r="638">
      <c r="A638" s="75"/>
      <c r="B638" s="76"/>
      <c r="C638" s="76"/>
      <c r="D638" s="76"/>
      <c r="E638" s="77"/>
    </row>
    <row r="639">
      <c r="A639" s="75"/>
      <c r="B639" s="76"/>
      <c r="C639" s="76"/>
      <c r="D639" s="76"/>
      <c r="E639" s="77"/>
    </row>
    <row r="640">
      <c r="A640" s="75"/>
      <c r="B640" s="76"/>
      <c r="C640" s="76"/>
      <c r="D640" s="76"/>
      <c r="E640" s="77"/>
    </row>
    <row r="641">
      <c r="A641" s="75"/>
      <c r="B641" s="76"/>
      <c r="C641" s="76"/>
      <c r="D641" s="76"/>
      <c r="E641" s="77"/>
    </row>
    <row r="642">
      <c r="A642" s="75"/>
      <c r="B642" s="76"/>
      <c r="C642" s="76"/>
      <c r="D642" s="76"/>
      <c r="E642" s="77"/>
    </row>
    <row r="643">
      <c r="A643" s="75"/>
      <c r="B643" s="76"/>
      <c r="C643" s="76"/>
      <c r="D643" s="76"/>
      <c r="E643" s="77"/>
    </row>
    <row r="644">
      <c r="A644" s="75"/>
      <c r="B644" s="76"/>
      <c r="C644" s="76"/>
      <c r="D644" s="76"/>
      <c r="E644" s="77"/>
    </row>
    <row r="645">
      <c r="A645" s="75"/>
      <c r="B645" s="76"/>
      <c r="C645" s="76"/>
      <c r="D645" s="76"/>
      <c r="E645" s="77"/>
    </row>
    <row r="646">
      <c r="A646" s="75"/>
      <c r="B646" s="76"/>
      <c r="C646" s="76"/>
      <c r="D646" s="76"/>
      <c r="E646" s="77"/>
    </row>
    <row r="647">
      <c r="A647" s="75"/>
      <c r="B647" s="76"/>
      <c r="C647" s="76"/>
      <c r="D647" s="76"/>
      <c r="E647" s="77"/>
    </row>
    <row r="648">
      <c r="A648" s="75"/>
      <c r="B648" s="76"/>
      <c r="C648" s="76"/>
      <c r="D648" s="76"/>
      <c r="E648" s="77"/>
    </row>
    <row r="649">
      <c r="A649" s="75"/>
      <c r="B649" s="76"/>
      <c r="C649" s="76"/>
      <c r="D649" s="76"/>
      <c r="E649" s="77"/>
    </row>
    <row r="650">
      <c r="A650" s="75"/>
      <c r="B650" s="76"/>
      <c r="C650" s="76"/>
      <c r="D650" s="76"/>
      <c r="E650" s="77"/>
    </row>
    <row r="651">
      <c r="A651" s="75"/>
      <c r="B651" s="76"/>
      <c r="C651" s="76"/>
      <c r="D651" s="76"/>
      <c r="E651" s="77"/>
    </row>
    <row r="652">
      <c r="A652" s="75"/>
      <c r="B652" s="76"/>
      <c r="C652" s="76"/>
      <c r="D652" s="76"/>
      <c r="E652" s="77"/>
    </row>
    <row r="653">
      <c r="A653" s="75"/>
      <c r="B653" s="76"/>
      <c r="C653" s="76"/>
      <c r="D653" s="76"/>
      <c r="E653" s="77"/>
    </row>
    <row r="654">
      <c r="A654" s="75"/>
      <c r="B654" s="76"/>
      <c r="C654" s="76"/>
      <c r="D654" s="76"/>
      <c r="E654" s="77"/>
    </row>
    <row r="655">
      <c r="A655" s="75"/>
      <c r="B655" s="76"/>
      <c r="C655" s="76"/>
      <c r="D655" s="76"/>
      <c r="E655" s="77"/>
    </row>
    <row r="656">
      <c r="A656" s="75"/>
      <c r="B656" s="76"/>
      <c r="C656" s="76"/>
      <c r="D656" s="76"/>
      <c r="E656" s="77"/>
    </row>
    <row r="657">
      <c r="A657" s="75"/>
      <c r="B657" s="76"/>
      <c r="C657" s="76"/>
      <c r="D657" s="76"/>
      <c r="E657" s="77"/>
    </row>
    <row r="658">
      <c r="A658" s="75"/>
      <c r="B658" s="76"/>
      <c r="C658" s="76"/>
      <c r="D658" s="76"/>
      <c r="E658" s="77"/>
    </row>
    <row r="659">
      <c r="A659" s="75"/>
      <c r="B659" s="76"/>
      <c r="C659" s="76"/>
      <c r="D659" s="76"/>
      <c r="E659" s="77"/>
    </row>
    <row r="660">
      <c r="A660" s="75"/>
      <c r="B660" s="76"/>
      <c r="C660" s="76"/>
      <c r="D660" s="76"/>
      <c r="E660" s="77"/>
    </row>
    <row r="661">
      <c r="A661" s="75"/>
      <c r="B661" s="76"/>
      <c r="C661" s="76"/>
      <c r="D661" s="76"/>
      <c r="E661" s="77"/>
    </row>
    <row r="662">
      <c r="A662" s="75"/>
      <c r="B662" s="76"/>
      <c r="C662" s="76"/>
      <c r="D662" s="76"/>
      <c r="E662" s="77"/>
    </row>
    <row r="663">
      <c r="A663" s="75"/>
      <c r="B663" s="76"/>
      <c r="C663" s="76"/>
      <c r="D663" s="76"/>
      <c r="E663" s="77"/>
    </row>
    <row r="664">
      <c r="A664" s="75"/>
      <c r="B664" s="76"/>
      <c r="C664" s="76"/>
      <c r="D664" s="76"/>
      <c r="E664" s="77"/>
    </row>
    <row r="665">
      <c r="A665" s="75"/>
      <c r="B665" s="76"/>
      <c r="C665" s="76"/>
      <c r="D665" s="76"/>
      <c r="E665" s="77"/>
    </row>
    <row r="666">
      <c r="A666" s="75"/>
      <c r="B666" s="76"/>
      <c r="C666" s="76"/>
      <c r="D666" s="76"/>
      <c r="E666" s="77"/>
    </row>
    <row r="667">
      <c r="A667" s="75"/>
      <c r="B667" s="76"/>
      <c r="C667" s="76"/>
      <c r="D667" s="76"/>
      <c r="E667" s="77"/>
    </row>
    <row r="668">
      <c r="A668" s="75"/>
      <c r="B668" s="76"/>
      <c r="C668" s="76"/>
      <c r="D668" s="76"/>
      <c r="E668" s="77"/>
    </row>
    <row r="669">
      <c r="A669" s="75"/>
      <c r="B669" s="76"/>
      <c r="C669" s="76"/>
      <c r="D669" s="76"/>
      <c r="E669" s="77"/>
    </row>
    <row r="670">
      <c r="A670" s="75"/>
      <c r="B670" s="76"/>
      <c r="C670" s="76"/>
      <c r="D670" s="76"/>
      <c r="E670" s="77"/>
    </row>
    <row r="671">
      <c r="A671" s="75"/>
      <c r="B671" s="76"/>
      <c r="C671" s="76"/>
      <c r="D671" s="76"/>
      <c r="E671" s="77"/>
    </row>
    <row r="672">
      <c r="A672" s="75"/>
      <c r="B672" s="76"/>
      <c r="C672" s="76"/>
      <c r="D672" s="76"/>
      <c r="E672" s="77"/>
    </row>
    <row r="673">
      <c r="A673" s="75"/>
      <c r="B673" s="76"/>
      <c r="C673" s="76"/>
      <c r="D673" s="76"/>
      <c r="E673" s="77"/>
    </row>
    <row r="674">
      <c r="A674" s="75"/>
      <c r="B674" s="76"/>
      <c r="C674" s="76"/>
      <c r="D674" s="76"/>
      <c r="E674" s="77"/>
    </row>
    <row r="675">
      <c r="A675" s="75"/>
      <c r="B675" s="76"/>
      <c r="C675" s="76"/>
      <c r="D675" s="76"/>
      <c r="E675" s="77"/>
    </row>
    <row r="676">
      <c r="A676" s="75"/>
      <c r="B676" s="76"/>
      <c r="C676" s="76"/>
      <c r="D676" s="76"/>
      <c r="E676" s="77"/>
    </row>
    <row r="677">
      <c r="A677" s="75"/>
      <c r="B677" s="76"/>
      <c r="C677" s="76"/>
      <c r="D677" s="76"/>
      <c r="E677" s="77"/>
    </row>
    <row r="678">
      <c r="A678" s="75"/>
      <c r="B678" s="76"/>
      <c r="C678" s="76"/>
      <c r="D678" s="76"/>
      <c r="E678" s="77"/>
    </row>
    <row r="679">
      <c r="A679" s="75"/>
      <c r="B679" s="76"/>
      <c r="C679" s="76"/>
      <c r="D679" s="76"/>
      <c r="E679" s="77"/>
    </row>
    <row r="680">
      <c r="A680" s="75"/>
      <c r="B680" s="76"/>
      <c r="C680" s="76"/>
      <c r="D680" s="76"/>
      <c r="E680" s="77"/>
    </row>
    <row r="681">
      <c r="A681" s="75"/>
      <c r="B681" s="76"/>
      <c r="C681" s="76"/>
      <c r="D681" s="76"/>
      <c r="E681" s="77"/>
    </row>
    <row r="682">
      <c r="A682" s="75"/>
      <c r="B682" s="76"/>
      <c r="C682" s="76"/>
      <c r="D682" s="76"/>
      <c r="E682" s="77"/>
    </row>
    <row r="683">
      <c r="A683" s="75"/>
      <c r="B683" s="76"/>
      <c r="C683" s="76"/>
      <c r="D683" s="76"/>
      <c r="E683" s="77"/>
    </row>
    <row r="684">
      <c r="A684" s="75"/>
      <c r="B684" s="76"/>
      <c r="C684" s="76"/>
      <c r="D684" s="76"/>
      <c r="E684" s="77"/>
    </row>
    <row r="685">
      <c r="A685" s="75"/>
      <c r="B685" s="76"/>
      <c r="C685" s="76"/>
      <c r="D685" s="76"/>
      <c r="E685" s="77"/>
    </row>
    <row r="686">
      <c r="A686" s="75"/>
      <c r="B686" s="76"/>
      <c r="C686" s="76"/>
      <c r="D686" s="76"/>
      <c r="E686" s="77"/>
    </row>
    <row r="687">
      <c r="A687" s="75"/>
      <c r="B687" s="76"/>
      <c r="C687" s="76"/>
      <c r="D687" s="76"/>
      <c r="E687" s="77"/>
    </row>
    <row r="688">
      <c r="A688" s="75"/>
      <c r="B688" s="76"/>
      <c r="C688" s="76"/>
      <c r="D688" s="76"/>
      <c r="E688" s="77"/>
    </row>
    <row r="689">
      <c r="A689" s="75"/>
      <c r="B689" s="76"/>
      <c r="C689" s="76"/>
      <c r="D689" s="76"/>
      <c r="E689" s="77"/>
    </row>
    <row r="690">
      <c r="A690" s="75"/>
      <c r="B690" s="76"/>
      <c r="C690" s="76"/>
      <c r="D690" s="76"/>
      <c r="E690" s="77"/>
    </row>
    <row r="691">
      <c r="A691" s="75"/>
      <c r="B691" s="76"/>
      <c r="C691" s="76"/>
      <c r="D691" s="76"/>
      <c r="E691" s="77"/>
    </row>
    <row r="692">
      <c r="A692" s="75"/>
      <c r="B692" s="76"/>
      <c r="C692" s="76"/>
      <c r="D692" s="76"/>
      <c r="E692" s="77"/>
    </row>
    <row r="693">
      <c r="A693" s="75"/>
      <c r="B693" s="76"/>
      <c r="C693" s="76"/>
      <c r="D693" s="76"/>
      <c r="E693" s="77"/>
    </row>
    <row r="694">
      <c r="A694" s="75"/>
      <c r="B694" s="76"/>
      <c r="C694" s="76"/>
      <c r="D694" s="76"/>
      <c r="E694" s="77"/>
    </row>
    <row r="695">
      <c r="A695" s="75"/>
      <c r="B695" s="76"/>
      <c r="C695" s="76"/>
      <c r="D695" s="76"/>
      <c r="E695" s="77"/>
    </row>
    <row r="696">
      <c r="A696" s="75"/>
      <c r="B696" s="76"/>
      <c r="C696" s="76"/>
      <c r="D696" s="76"/>
      <c r="E696" s="77"/>
    </row>
    <row r="697">
      <c r="A697" s="75"/>
      <c r="B697" s="76"/>
      <c r="C697" s="76"/>
      <c r="D697" s="76"/>
      <c r="E697" s="77"/>
    </row>
    <row r="698">
      <c r="A698" s="75"/>
      <c r="B698" s="76"/>
      <c r="C698" s="76"/>
      <c r="D698" s="76"/>
      <c r="E698" s="77"/>
    </row>
    <row r="699">
      <c r="A699" s="75"/>
      <c r="B699" s="76"/>
      <c r="C699" s="76"/>
      <c r="D699" s="76"/>
      <c r="E699" s="77"/>
    </row>
    <row r="700">
      <c r="A700" s="75"/>
      <c r="B700" s="76"/>
      <c r="C700" s="76"/>
      <c r="D700" s="76"/>
      <c r="E700" s="77"/>
    </row>
    <row r="701">
      <c r="A701" s="75"/>
      <c r="B701" s="76"/>
      <c r="C701" s="76"/>
      <c r="D701" s="76"/>
      <c r="E701" s="77"/>
    </row>
    <row r="702">
      <c r="A702" s="75"/>
      <c r="B702" s="76"/>
      <c r="C702" s="76"/>
      <c r="D702" s="76"/>
      <c r="E702" s="77"/>
    </row>
    <row r="703">
      <c r="A703" s="75"/>
      <c r="B703" s="76"/>
      <c r="C703" s="76"/>
      <c r="D703" s="76"/>
      <c r="E703" s="77"/>
    </row>
    <row r="704">
      <c r="A704" s="75"/>
      <c r="B704" s="76"/>
      <c r="C704" s="76"/>
      <c r="D704" s="76"/>
      <c r="E704" s="77"/>
    </row>
    <row r="705">
      <c r="A705" s="75"/>
      <c r="B705" s="76"/>
      <c r="C705" s="76"/>
      <c r="D705" s="76"/>
      <c r="E705" s="77"/>
    </row>
    <row r="706">
      <c r="A706" s="75"/>
      <c r="B706" s="76"/>
      <c r="C706" s="76"/>
      <c r="D706" s="76"/>
      <c r="E706" s="77"/>
    </row>
    <row r="707">
      <c r="A707" s="75"/>
      <c r="B707" s="76"/>
      <c r="C707" s="76"/>
      <c r="D707" s="76"/>
      <c r="E707" s="77"/>
    </row>
    <row r="708">
      <c r="A708" s="75"/>
      <c r="B708" s="76"/>
      <c r="C708" s="76"/>
      <c r="D708" s="76"/>
      <c r="E708" s="77"/>
    </row>
    <row r="709">
      <c r="A709" s="75"/>
      <c r="B709" s="76"/>
      <c r="C709" s="76"/>
      <c r="D709" s="76"/>
      <c r="E709" s="77"/>
    </row>
    <row r="710">
      <c r="A710" s="75"/>
      <c r="B710" s="76"/>
      <c r="C710" s="76"/>
      <c r="D710" s="76"/>
      <c r="E710" s="77"/>
    </row>
    <row r="711">
      <c r="A711" s="75"/>
      <c r="B711" s="76"/>
      <c r="C711" s="76"/>
      <c r="D711" s="76"/>
      <c r="E711" s="77"/>
    </row>
    <row r="712">
      <c r="A712" s="75"/>
      <c r="B712" s="76"/>
      <c r="C712" s="76"/>
      <c r="D712" s="76"/>
      <c r="E712" s="77"/>
    </row>
    <row r="713">
      <c r="A713" s="75"/>
      <c r="B713" s="76"/>
      <c r="C713" s="76"/>
      <c r="D713" s="76"/>
      <c r="E713" s="77"/>
    </row>
    <row r="714">
      <c r="A714" s="75"/>
      <c r="B714" s="76"/>
      <c r="C714" s="76"/>
      <c r="D714" s="76"/>
      <c r="E714" s="77"/>
    </row>
    <row r="715">
      <c r="A715" s="75"/>
      <c r="B715" s="76"/>
      <c r="C715" s="76"/>
      <c r="D715" s="76"/>
      <c r="E715" s="77"/>
    </row>
    <row r="716">
      <c r="A716" s="75"/>
      <c r="B716" s="76"/>
      <c r="C716" s="76"/>
      <c r="D716" s="76"/>
      <c r="E716" s="77"/>
    </row>
    <row r="717">
      <c r="A717" s="75"/>
      <c r="B717" s="76"/>
      <c r="C717" s="76"/>
      <c r="D717" s="76"/>
      <c r="E717" s="77"/>
    </row>
    <row r="718">
      <c r="A718" s="75"/>
      <c r="B718" s="76"/>
      <c r="C718" s="76"/>
      <c r="D718" s="76"/>
      <c r="E718" s="77"/>
    </row>
    <row r="719">
      <c r="A719" s="75"/>
      <c r="B719" s="76"/>
      <c r="C719" s="76"/>
      <c r="D719" s="76"/>
      <c r="E719" s="77"/>
    </row>
    <row r="720">
      <c r="A720" s="75"/>
      <c r="B720" s="76"/>
      <c r="C720" s="76"/>
      <c r="D720" s="76"/>
      <c r="E720" s="77"/>
    </row>
    <row r="721">
      <c r="A721" s="75"/>
      <c r="B721" s="76"/>
      <c r="C721" s="76"/>
      <c r="D721" s="76"/>
      <c r="E721" s="77"/>
    </row>
    <row r="722">
      <c r="A722" s="75"/>
      <c r="B722" s="76"/>
      <c r="C722" s="76"/>
      <c r="D722" s="76"/>
      <c r="E722" s="77"/>
    </row>
    <row r="723">
      <c r="A723" s="75"/>
      <c r="B723" s="76"/>
      <c r="C723" s="76"/>
      <c r="D723" s="76"/>
      <c r="E723" s="77"/>
    </row>
    <row r="724">
      <c r="A724" s="75"/>
      <c r="B724" s="76"/>
      <c r="C724" s="76"/>
      <c r="D724" s="76"/>
      <c r="E724" s="77"/>
    </row>
    <row r="725">
      <c r="A725" s="75"/>
      <c r="B725" s="76"/>
      <c r="C725" s="76"/>
      <c r="D725" s="76"/>
      <c r="E725" s="77"/>
    </row>
    <row r="726">
      <c r="A726" s="75"/>
      <c r="B726" s="76"/>
      <c r="C726" s="76"/>
      <c r="D726" s="76"/>
      <c r="E726" s="77"/>
    </row>
    <row r="727">
      <c r="A727" s="75"/>
      <c r="B727" s="76"/>
      <c r="C727" s="76"/>
      <c r="D727" s="76"/>
      <c r="E727" s="77"/>
    </row>
    <row r="728">
      <c r="A728" s="75"/>
      <c r="B728" s="76"/>
      <c r="C728" s="76"/>
      <c r="D728" s="76"/>
      <c r="E728" s="77"/>
    </row>
    <row r="729">
      <c r="A729" s="75"/>
      <c r="B729" s="76"/>
      <c r="C729" s="76"/>
      <c r="D729" s="76"/>
      <c r="E729" s="77"/>
    </row>
    <row r="730">
      <c r="A730" s="75"/>
      <c r="B730" s="76"/>
      <c r="C730" s="76"/>
      <c r="D730" s="76"/>
      <c r="E730" s="77"/>
    </row>
    <row r="731">
      <c r="A731" s="75"/>
      <c r="B731" s="76"/>
      <c r="C731" s="76"/>
      <c r="D731" s="76"/>
      <c r="E731" s="77"/>
    </row>
    <row r="732">
      <c r="A732" s="75"/>
      <c r="B732" s="76"/>
      <c r="C732" s="76"/>
      <c r="D732" s="76"/>
      <c r="E732" s="77"/>
    </row>
    <row r="733">
      <c r="A733" s="75"/>
      <c r="B733" s="76"/>
      <c r="C733" s="76"/>
      <c r="D733" s="76"/>
      <c r="E733" s="77"/>
    </row>
    <row r="734">
      <c r="A734" s="75"/>
      <c r="B734" s="76"/>
      <c r="C734" s="76"/>
      <c r="D734" s="76"/>
      <c r="E734" s="77"/>
    </row>
    <row r="735">
      <c r="A735" s="75"/>
      <c r="B735" s="76"/>
      <c r="C735" s="76"/>
      <c r="D735" s="76"/>
      <c r="E735" s="77"/>
    </row>
    <row r="736">
      <c r="A736" s="75"/>
      <c r="B736" s="76"/>
      <c r="C736" s="76"/>
      <c r="D736" s="76"/>
      <c r="E736" s="77"/>
    </row>
    <row r="737">
      <c r="A737" s="75"/>
      <c r="B737" s="76"/>
      <c r="C737" s="76"/>
      <c r="D737" s="76"/>
      <c r="E737" s="77"/>
    </row>
    <row r="738">
      <c r="A738" s="75"/>
      <c r="B738" s="76"/>
      <c r="C738" s="76"/>
      <c r="D738" s="76"/>
      <c r="E738" s="77"/>
    </row>
    <row r="739">
      <c r="A739" s="75"/>
      <c r="B739" s="76"/>
      <c r="C739" s="76"/>
      <c r="D739" s="76"/>
      <c r="E739" s="77"/>
    </row>
    <row r="740">
      <c r="A740" s="75"/>
      <c r="B740" s="76"/>
      <c r="C740" s="76"/>
      <c r="D740" s="76"/>
      <c r="E740" s="77"/>
    </row>
    <row r="741">
      <c r="A741" s="75"/>
      <c r="B741" s="76"/>
      <c r="C741" s="76"/>
      <c r="D741" s="76"/>
      <c r="E741" s="77"/>
    </row>
    <row r="742">
      <c r="A742" s="75"/>
      <c r="B742" s="76"/>
      <c r="C742" s="76"/>
      <c r="D742" s="76"/>
      <c r="E742" s="77"/>
    </row>
    <row r="743">
      <c r="A743" s="75"/>
      <c r="B743" s="76"/>
      <c r="C743" s="76"/>
      <c r="D743" s="76"/>
      <c r="E743" s="77"/>
    </row>
    <row r="744">
      <c r="A744" s="75"/>
      <c r="B744" s="76"/>
      <c r="C744" s="76"/>
      <c r="D744" s="76"/>
      <c r="E744" s="77"/>
    </row>
    <row r="745">
      <c r="A745" s="75"/>
      <c r="B745" s="76"/>
      <c r="C745" s="76"/>
      <c r="D745" s="76"/>
      <c r="E745" s="77"/>
    </row>
    <row r="746">
      <c r="A746" s="75"/>
      <c r="B746" s="76"/>
      <c r="C746" s="76"/>
      <c r="D746" s="76"/>
      <c r="E746" s="77"/>
    </row>
    <row r="747">
      <c r="A747" s="75"/>
      <c r="B747" s="76"/>
      <c r="C747" s="76"/>
      <c r="D747" s="76"/>
      <c r="E747" s="77"/>
    </row>
    <row r="748">
      <c r="A748" s="75"/>
      <c r="B748" s="76"/>
      <c r="C748" s="76"/>
      <c r="D748" s="76"/>
      <c r="E748" s="77"/>
    </row>
    <row r="749">
      <c r="A749" s="75"/>
      <c r="B749" s="76"/>
      <c r="C749" s="76"/>
      <c r="D749" s="76"/>
      <c r="E749" s="77"/>
    </row>
    <row r="750">
      <c r="A750" s="75"/>
      <c r="B750" s="76"/>
      <c r="C750" s="76"/>
      <c r="D750" s="76"/>
      <c r="E750" s="77"/>
    </row>
    <row r="751">
      <c r="A751" s="75"/>
      <c r="B751" s="76"/>
      <c r="C751" s="76"/>
      <c r="D751" s="76"/>
      <c r="E751" s="77"/>
    </row>
    <row r="752">
      <c r="A752" s="75"/>
      <c r="B752" s="76"/>
      <c r="C752" s="76"/>
      <c r="D752" s="76"/>
      <c r="E752" s="77"/>
    </row>
    <row r="753">
      <c r="A753" s="75"/>
      <c r="B753" s="76"/>
      <c r="C753" s="76"/>
      <c r="D753" s="76"/>
      <c r="E753" s="77"/>
    </row>
    <row r="754">
      <c r="A754" s="75"/>
      <c r="B754" s="76"/>
      <c r="C754" s="76"/>
      <c r="D754" s="76"/>
      <c r="E754" s="77"/>
    </row>
    <row r="755">
      <c r="A755" s="75"/>
      <c r="B755" s="76"/>
      <c r="C755" s="76"/>
      <c r="D755" s="76"/>
      <c r="E755" s="77"/>
    </row>
    <row r="756">
      <c r="A756" s="75"/>
      <c r="B756" s="76"/>
      <c r="C756" s="76"/>
      <c r="D756" s="76"/>
      <c r="E756" s="77"/>
    </row>
    <row r="757">
      <c r="A757" s="75"/>
      <c r="B757" s="76"/>
      <c r="C757" s="76"/>
      <c r="D757" s="76"/>
      <c r="E757" s="77"/>
    </row>
    <row r="758">
      <c r="A758" s="75"/>
      <c r="B758" s="76"/>
      <c r="C758" s="76"/>
      <c r="D758" s="76"/>
      <c r="E758" s="77"/>
    </row>
    <row r="759">
      <c r="A759" s="75"/>
      <c r="B759" s="76"/>
      <c r="C759" s="76"/>
      <c r="D759" s="76"/>
      <c r="E759" s="77"/>
    </row>
    <row r="760">
      <c r="A760" s="75"/>
      <c r="B760" s="76"/>
      <c r="C760" s="76"/>
      <c r="D760" s="76"/>
      <c r="E760" s="77"/>
    </row>
    <row r="761">
      <c r="A761" s="75"/>
      <c r="B761" s="76"/>
      <c r="C761" s="76"/>
      <c r="D761" s="76"/>
      <c r="E761" s="77"/>
    </row>
    <row r="762">
      <c r="A762" s="75"/>
      <c r="B762" s="76"/>
      <c r="C762" s="76"/>
      <c r="D762" s="76"/>
      <c r="E762" s="77"/>
    </row>
    <row r="763">
      <c r="A763" s="75"/>
      <c r="B763" s="76"/>
      <c r="C763" s="76"/>
      <c r="D763" s="76"/>
      <c r="E763" s="77"/>
    </row>
    <row r="764">
      <c r="A764" s="75"/>
      <c r="B764" s="76"/>
      <c r="C764" s="76"/>
      <c r="D764" s="76"/>
      <c r="E764" s="77"/>
    </row>
    <row r="765">
      <c r="A765" s="75"/>
      <c r="B765" s="76"/>
      <c r="C765" s="76"/>
      <c r="D765" s="76"/>
      <c r="E765" s="77"/>
    </row>
    <row r="766">
      <c r="A766" s="75"/>
      <c r="B766" s="76"/>
      <c r="C766" s="76"/>
      <c r="D766" s="76"/>
      <c r="E766" s="77"/>
    </row>
    <row r="767">
      <c r="A767" s="75"/>
      <c r="B767" s="76"/>
      <c r="C767" s="76"/>
      <c r="D767" s="76"/>
      <c r="E767" s="77"/>
    </row>
    <row r="768">
      <c r="A768" s="75"/>
      <c r="B768" s="76"/>
      <c r="C768" s="76"/>
      <c r="D768" s="76"/>
      <c r="E768" s="77"/>
    </row>
    <row r="769">
      <c r="A769" s="75"/>
      <c r="B769" s="76"/>
      <c r="C769" s="76"/>
      <c r="D769" s="76"/>
      <c r="E769" s="77"/>
    </row>
    <row r="770">
      <c r="A770" s="75"/>
      <c r="B770" s="76"/>
      <c r="C770" s="76"/>
      <c r="D770" s="76"/>
      <c r="E770" s="77"/>
    </row>
    <row r="771">
      <c r="A771" s="75"/>
      <c r="B771" s="76"/>
      <c r="C771" s="76"/>
      <c r="D771" s="76"/>
      <c r="E771" s="77"/>
    </row>
    <row r="772">
      <c r="A772" s="75"/>
      <c r="B772" s="76"/>
      <c r="C772" s="76"/>
      <c r="D772" s="76"/>
      <c r="E772" s="77"/>
    </row>
    <row r="773">
      <c r="A773" s="75"/>
      <c r="B773" s="76"/>
      <c r="C773" s="76"/>
      <c r="D773" s="76"/>
      <c r="E773" s="77"/>
    </row>
    <row r="774">
      <c r="A774" s="75"/>
      <c r="B774" s="76"/>
      <c r="C774" s="76"/>
      <c r="D774" s="76"/>
      <c r="E774" s="77"/>
    </row>
    <row r="775">
      <c r="A775" s="75"/>
      <c r="B775" s="76"/>
      <c r="C775" s="76"/>
      <c r="D775" s="76"/>
      <c r="E775" s="77"/>
    </row>
    <row r="776">
      <c r="A776" s="75"/>
      <c r="B776" s="76"/>
      <c r="C776" s="76"/>
      <c r="D776" s="76"/>
      <c r="E776" s="77"/>
    </row>
    <row r="777">
      <c r="A777" s="75"/>
      <c r="B777" s="76"/>
      <c r="C777" s="76"/>
      <c r="D777" s="76"/>
      <c r="E777" s="77"/>
    </row>
    <row r="778">
      <c r="A778" s="75"/>
      <c r="B778" s="76"/>
      <c r="C778" s="76"/>
      <c r="D778" s="76"/>
      <c r="E778" s="77"/>
    </row>
    <row r="779">
      <c r="A779" s="75"/>
      <c r="B779" s="76"/>
      <c r="C779" s="76"/>
      <c r="D779" s="76"/>
      <c r="E779" s="77"/>
    </row>
    <row r="780">
      <c r="A780" s="75"/>
      <c r="B780" s="76"/>
      <c r="C780" s="76"/>
      <c r="D780" s="76"/>
      <c r="E780" s="77"/>
    </row>
    <row r="781">
      <c r="A781" s="75"/>
      <c r="B781" s="76"/>
      <c r="C781" s="76"/>
      <c r="D781" s="76"/>
      <c r="E781" s="77"/>
    </row>
    <row r="782">
      <c r="A782" s="75"/>
      <c r="B782" s="76"/>
      <c r="C782" s="76"/>
      <c r="D782" s="76"/>
      <c r="E782" s="77"/>
    </row>
    <row r="783">
      <c r="A783" s="75"/>
      <c r="B783" s="76"/>
      <c r="C783" s="76"/>
      <c r="D783" s="76"/>
      <c r="E783" s="77"/>
    </row>
    <row r="784">
      <c r="A784" s="75"/>
      <c r="B784" s="76"/>
      <c r="C784" s="76"/>
      <c r="D784" s="76"/>
      <c r="E784" s="77"/>
    </row>
    <row r="785">
      <c r="A785" s="75"/>
      <c r="B785" s="76"/>
      <c r="C785" s="76"/>
      <c r="D785" s="76"/>
      <c r="E785" s="77"/>
    </row>
    <row r="786">
      <c r="A786" s="75"/>
      <c r="B786" s="76"/>
      <c r="C786" s="76"/>
      <c r="D786" s="76"/>
      <c r="E786" s="77"/>
    </row>
    <row r="787">
      <c r="A787" s="75"/>
      <c r="B787" s="76"/>
      <c r="C787" s="76"/>
      <c r="D787" s="76"/>
      <c r="E787" s="77"/>
    </row>
    <row r="788">
      <c r="A788" s="75"/>
      <c r="B788" s="76"/>
      <c r="C788" s="76"/>
      <c r="D788" s="76"/>
      <c r="E788" s="77"/>
    </row>
    <row r="789">
      <c r="A789" s="75"/>
      <c r="B789" s="76"/>
      <c r="C789" s="76"/>
      <c r="D789" s="76"/>
      <c r="E789" s="77"/>
    </row>
    <row r="790">
      <c r="A790" s="75"/>
      <c r="B790" s="76"/>
      <c r="C790" s="76"/>
      <c r="D790" s="76"/>
      <c r="E790" s="77"/>
    </row>
    <row r="791">
      <c r="A791" s="75"/>
      <c r="B791" s="76"/>
      <c r="C791" s="76"/>
      <c r="D791" s="76"/>
      <c r="E791" s="77"/>
    </row>
    <row r="792">
      <c r="A792" s="75"/>
      <c r="B792" s="76"/>
      <c r="C792" s="76"/>
      <c r="D792" s="76"/>
      <c r="E792" s="77"/>
    </row>
    <row r="793">
      <c r="A793" s="75"/>
      <c r="B793" s="76"/>
      <c r="C793" s="76"/>
      <c r="D793" s="76"/>
      <c r="E793" s="77"/>
    </row>
    <row r="794">
      <c r="A794" s="75"/>
      <c r="B794" s="76"/>
      <c r="C794" s="76"/>
      <c r="D794" s="76"/>
      <c r="E794" s="77"/>
    </row>
    <row r="795">
      <c r="A795" s="75"/>
      <c r="B795" s="76"/>
      <c r="C795" s="76"/>
      <c r="D795" s="76"/>
      <c r="E795" s="77"/>
    </row>
    <row r="796">
      <c r="A796" s="75"/>
      <c r="B796" s="76"/>
      <c r="C796" s="76"/>
      <c r="D796" s="76"/>
      <c r="E796" s="77"/>
    </row>
    <row r="797">
      <c r="A797" s="75"/>
      <c r="B797" s="76"/>
      <c r="C797" s="76"/>
      <c r="D797" s="76"/>
      <c r="E797" s="77"/>
    </row>
    <row r="798">
      <c r="A798" s="75"/>
      <c r="B798" s="76"/>
      <c r="C798" s="76"/>
      <c r="D798" s="76"/>
      <c r="E798" s="77"/>
    </row>
    <row r="799">
      <c r="A799" s="75"/>
      <c r="B799" s="76"/>
      <c r="C799" s="76"/>
      <c r="D799" s="76"/>
      <c r="E799" s="77"/>
    </row>
    <row r="800">
      <c r="A800" s="75"/>
      <c r="B800" s="76"/>
      <c r="C800" s="76"/>
      <c r="D800" s="76"/>
      <c r="E800" s="77"/>
    </row>
    <row r="801">
      <c r="A801" s="75"/>
      <c r="B801" s="76"/>
      <c r="C801" s="76"/>
      <c r="D801" s="76"/>
      <c r="E801" s="77"/>
    </row>
    <row r="802">
      <c r="A802" s="75"/>
      <c r="B802" s="76"/>
      <c r="C802" s="76"/>
      <c r="D802" s="76"/>
      <c r="E802" s="77"/>
    </row>
    <row r="803">
      <c r="A803" s="75"/>
      <c r="B803" s="76"/>
      <c r="C803" s="76"/>
      <c r="D803" s="76"/>
      <c r="E803" s="77"/>
    </row>
    <row r="804">
      <c r="A804" s="75"/>
      <c r="B804" s="76"/>
      <c r="C804" s="76"/>
      <c r="D804" s="76"/>
      <c r="E804" s="77"/>
    </row>
    <row r="805">
      <c r="A805" s="75"/>
      <c r="B805" s="76"/>
      <c r="C805" s="76"/>
      <c r="D805" s="76"/>
      <c r="E805" s="77"/>
    </row>
    <row r="806">
      <c r="A806" s="75"/>
      <c r="B806" s="76"/>
      <c r="C806" s="76"/>
      <c r="D806" s="76"/>
      <c r="E806" s="77"/>
    </row>
    <row r="807">
      <c r="A807" s="75"/>
      <c r="B807" s="76"/>
      <c r="C807" s="76"/>
      <c r="D807" s="76"/>
      <c r="E807" s="77"/>
    </row>
    <row r="808">
      <c r="A808" s="75"/>
      <c r="B808" s="76"/>
      <c r="C808" s="76"/>
      <c r="D808" s="76"/>
      <c r="E808" s="77"/>
    </row>
    <row r="809">
      <c r="A809" s="75"/>
      <c r="B809" s="76"/>
      <c r="C809" s="76"/>
      <c r="D809" s="76"/>
      <c r="E809" s="77"/>
    </row>
    <row r="810">
      <c r="A810" s="75"/>
      <c r="B810" s="76"/>
      <c r="C810" s="76"/>
      <c r="D810" s="76"/>
      <c r="E810" s="77"/>
    </row>
    <row r="811">
      <c r="A811" s="75"/>
      <c r="B811" s="76"/>
      <c r="C811" s="76"/>
      <c r="D811" s="76"/>
      <c r="E811" s="77"/>
    </row>
    <row r="812">
      <c r="A812" s="75"/>
      <c r="B812" s="76"/>
      <c r="C812" s="76"/>
      <c r="D812" s="76"/>
      <c r="E812" s="77"/>
    </row>
    <row r="813">
      <c r="A813" s="75"/>
      <c r="B813" s="76"/>
      <c r="C813" s="76"/>
      <c r="D813" s="76"/>
      <c r="E813" s="77"/>
    </row>
    <row r="814">
      <c r="A814" s="75"/>
      <c r="B814" s="76"/>
      <c r="C814" s="76"/>
      <c r="D814" s="76"/>
      <c r="E814" s="77"/>
    </row>
    <row r="815">
      <c r="A815" s="75"/>
      <c r="B815" s="76"/>
      <c r="C815" s="76"/>
      <c r="D815" s="76"/>
      <c r="E815" s="77"/>
    </row>
    <row r="816">
      <c r="A816" s="75"/>
      <c r="B816" s="76"/>
      <c r="C816" s="76"/>
      <c r="D816" s="76"/>
      <c r="E816" s="77"/>
    </row>
    <row r="817">
      <c r="A817" s="75"/>
      <c r="B817" s="76"/>
      <c r="C817" s="76"/>
      <c r="D817" s="76"/>
      <c r="E817" s="77"/>
    </row>
    <row r="818">
      <c r="A818" s="75"/>
      <c r="B818" s="76"/>
      <c r="C818" s="76"/>
      <c r="D818" s="76"/>
      <c r="E818" s="77"/>
    </row>
    <row r="819">
      <c r="A819" s="75"/>
      <c r="B819" s="76"/>
      <c r="C819" s="76"/>
      <c r="D819" s="76"/>
      <c r="E819" s="77"/>
    </row>
    <row r="820">
      <c r="A820" s="75"/>
      <c r="B820" s="76"/>
      <c r="C820" s="76"/>
      <c r="D820" s="76"/>
      <c r="E820" s="77"/>
    </row>
    <row r="821">
      <c r="A821" s="75"/>
      <c r="B821" s="76"/>
      <c r="C821" s="76"/>
      <c r="D821" s="76"/>
      <c r="E821" s="77"/>
    </row>
    <row r="822">
      <c r="A822" s="75"/>
      <c r="B822" s="76"/>
      <c r="C822" s="76"/>
      <c r="D822" s="76"/>
      <c r="E822" s="77"/>
    </row>
    <row r="823">
      <c r="A823" s="75"/>
      <c r="B823" s="76"/>
      <c r="C823" s="76"/>
      <c r="D823" s="76"/>
      <c r="E823" s="77"/>
    </row>
    <row r="824">
      <c r="A824" s="75"/>
      <c r="B824" s="76"/>
      <c r="C824" s="76"/>
      <c r="D824" s="76"/>
      <c r="E824" s="77"/>
    </row>
    <row r="825">
      <c r="A825" s="75"/>
      <c r="B825" s="76"/>
      <c r="C825" s="76"/>
      <c r="D825" s="76"/>
      <c r="E825" s="77"/>
    </row>
    <row r="826">
      <c r="A826" s="75"/>
      <c r="B826" s="76"/>
      <c r="C826" s="76"/>
      <c r="D826" s="76"/>
      <c r="E826" s="77"/>
    </row>
    <row r="827">
      <c r="A827" s="75"/>
      <c r="B827" s="76"/>
      <c r="C827" s="76"/>
      <c r="D827" s="76"/>
      <c r="E827" s="77"/>
    </row>
    <row r="828">
      <c r="A828" s="75"/>
      <c r="B828" s="76"/>
      <c r="C828" s="76"/>
      <c r="D828" s="76"/>
      <c r="E828" s="77"/>
    </row>
    <row r="829">
      <c r="A829" s="75"/>
      <c r="B829" s="76"/>
      <c r="C829" s="76"/>
      <c r="D829" s="76"/>
      <c r="E829" s="77"/>
    </row>
    <row r="830">
      <c r="A830" s="75"/>
      <c r="B830" s="76"/>
      <c r="C830" s="76"/>
      <c r="D830" s="76"/>
      <c r="E830" s="77"/>
    </row>
    <row r="831">
      <c r="A831" s="75"/>
      <c r="B831" s="76"/>
      <c r="C831" s="76"/>
      <c r="D831" s="76"/>
      <c r="E831" s="77"/>
    </row>
    <row r="832">
      <c r="A832" s="75"/>
      <c r="B832" s="76"/>
      <c r="C832" s="76"/>
      <c r="D832" s="76"/>
      <c r="E832" s="77"/>
    </row>
    <row r="833">
      <c r="A833" s="75"/>
      <c r="B833" s="76"/>
      <c r="C833" s="76"/>
      <c r="D833" s="76"/>
      <c r="E833" s="77"/>
    </row>
    <row r="834">
      <c r="A834" s="75"/>
      <c r="B834" s="76"/>
      <c r="C834" s="76"/>
      <c r="D834" s="76"/>
      <c r="E834" s="77"/>
    </row>
    <row r="835">
      <c r="A835" s="75"/>
      <c r="B835" s="76"/>
      <c r="C835" s="76"/>
      <c r="D835" s="76"/>
      <c r="E835" s="77"/>
    </row>
    <row r="836">
      <c r="A836" s="75"/>
      <c r="B836" s="76"/>
      <c r="C836" s="76"/>
      <c r="D836" s="76"/>
      <c r="E836" s="77"/>
    </row>
    <row r="837">
      <c r="A837" s="75"/>
      <c r="B837" s="76"/>
      <c r="C837" s="76"/>
      <c r="D837" s="76"/>
      <c r="E837" s="77"/>
    </row>
    <row r="838">
      <c r="A838" s="75"/>
      <c r="B838" s="76"/>
      <c r="C838" s="76"/>
      <c r="D838" s="76"/>
      <c r="E838" s="77"/>
    </row>
    <row r="839">
      <c r="A839" s="75"/>
      <c r="B839" s="76"/>
      <c r="C839" s="76"/>
      <c r="D839" s="76"/>
      <c r="E839" s="77"/>
    </row>
    <row r="840">
      <c r="A840" s="75"/>
      <c r="B840" s="76"/>
      <c r="C840" s="76"/>
      <c r="D840" s="76"/>
      <c r="E840" s="77"/>
    </row>
    <row r="841">
      <c r="A841" s="75"/>
      <c r="B841" s="76"/>
      <c r="C841" s="76"/>
      <c r="D841" s="76"/>
      <c r="E841" s="77"/>
    </row>
    <row r="842">
      <c r="A842" s="75"/>
      <c r="B842" s="76"/>
      <c r="C842" s="76"/>
      <c r="D842" s="76"/>
      <c r="E842" s="77"/>
    </row>
    <row r="843">
      <c r="A843" s="75"/>
      <c r="B843" s="76"/>
      <c r="C843" s="76"/>
      <c r="D843" s="76"/>
      <c r="E843" s="77"/>
    </row>
    <row r="844">
      <c r="A844" s="75"/>
      <c r="B844" s="76"/>
      <c r="C844" s="76"/>
      <c r="D844" s="76"/>
      <c r="E844" s="77"/>
    </row>
    <row r="845">
      <c r="A845" s="75"/>
      <c r="B845" s="76"/>
      <c r="C845" s="76"/>
      <c r="D845" s="76"/>
      <c r="E845" s="77"/>
    </row>
    <row r="846">
      <c r="A846" s="75"/>
      <c r="B846" s="76"/>
      <c r="C846" s="76"/>
      <c r="D846" s="76"/>
      <c r="E846" s="77"/>
    </row>
    <row r="847">
      <c r="A847" s="75"/>
      <c r="B847" s="76"/>
      <c r="C847" s="76"/>
      <c r="D847" s="76"/>
      <c r="E847" s="77"/>
    </row>
    <row r="848">
      <c r="A848" s="75"/>
      <c r="B848" s="76"/>
      <c r="C848" s="76"/>
      <c r="D848" s="76"/>
      <c r="E848" s="77"/>
    </row>
    <row r="849">
      <c r="A849" s="75"/>
      <c r="B849" s="76"/>
      <c r="C849" s="76"/>
      <c r="D849" s="76"/>
      <c r="E849" s="77"/>
    </row>
    <row r="850">
      <c r="A850" s="75"/>
      <c r="B850" s="76"/>
      <c r="C850" s="76"/>
      <c r="D850" s="76"/>
      <c r="E850" s="77"/>
    </row>
    <row r="851">
      <c r="A851" s="75"/>
      <c r="B851" s="76"/>
      <c r="C851" s="76"/>
      <c r="D851" s="76"/>
      <c r="E851" s="77"/>
    </row>
    <row r="852">
      <c r="A852" s="75"/>
      <c r="B852" s="76"/>
      <c r="C852" s="76"/>
      <c r="D852" s="76"/>
      <c r="E852" s="77"/>
    </row>
    <row r="853">
      <c r="A853" s="75"/>
      <c r="B853" s="76"/>
      <c r="C853" s="76"/>
      <c r="D853" s="76"/>
      <c r="E853" s="77"/>
    </row>
    <row r="854">
      <c r="A854" s="75"/>
      <c r="B854" s="76"/>
      <c r="C854" s="76"/>
      <c r="D854" s="76"/>
      <c r="E854" s="77"/>
    </row>
    <row r="855">
      <c r="A855" s="75"/>
      <c r="B855" s="76"/>
      <c r="C855" s="76"/>
      <c r="D855" s="76"/>
      <c r="E855" s="77"/>
    </row>
    <row r="856">
      <c r="A856" s="75"/>
      <c r="B856" s="76"/>
      <c r="C856" s="76"/>
      <c r="D856" s="76"/>
      <c r="E856" s="77"/>
    </row>
    <row r="857">
      <c r="A857" s="75"/>
      <c r="B857" s="76"/>
      <c r="C857" s="76"/>
      <c r="D857" s="76"/>
      <c r="E857" s="77"/>
    </row>
    <row r="858">
      <c r="A858" s="75"/>
      <c r="B858" s="76"/>
      <c r="C858" s="76"/>
      <c r="D858" s="76"/>
      <c r="E858" s="77"/>
    </row>
    <row r="859">
      <c r="A859" s="75"/>
      <c r="B859" s="76"/>
      <c r="C859" s="76"/>
      <c r="D859" s="76"/>
      <c r="E859" s="77"/>
    </row>
    <row r="860">
      <c r="A860" s="75"/>
      <c r="B860" s="76"/>
      <c r="C860" s="76"/>
      <c r="D860" s="76"/>
      <c r="E860" s="77"/>
    </row>
    <row r="861">
      <c r="A861" s="75"/>
      <c r="B861" s="76"/>
      <c r="C861" s="76"/>
      <c r="D861" s="76"/>
      <c r="E861" s="77"/>
    </row>
    <row r="862">
      <c r="A862" s="75"/>
      <c r="B862" s="76"/>
      <c r="C862" s="76"/>
      <c r="D862" s="76"/>
      <c r="E862" s="77"/>
    </row>
    <row r="863">
      <c r="A863" s="75"/>
      <c r="B863" s="76"/>
      <c r="C863" s="76"/>
      <c r="D863" s="76"/>
      <c r="E863" s="77"/>
    </row>
    <row r="864">
      <c r="A864" s="75"/>
      <c r="B864" s="76"/>
      <c r="C864" s="76"/>
      <c r="D864" s="76"/>
      <c r="E864" s="77"/>
    </row>
    <row r="865">
      <c r="A865" s="75"/>
      <c r="B865" s="76"/>
      <c r="C865" s="76"/>
      <c r="D865" s="76"/>
      <c r="E865" s="77"/>
    </row>
    <row r="866">
      <c r="A866" s="75"/>
      <c r="B866" s="76"/>
      <c r="C866" s="76"/>
      <c r="D866" s="76"/>
      <c r="E866" s="77"/>
    </row>
    <row r="867">
      <c r="A867" s="75"/>
      <c r="B867" s="76"/>
      <c r="C867" s="76"/>
      <c r="D867" s="76"/>
      <c r="E867" s="77"/>
    </row>
    <row r="868">
      <c r="A868" s="75"/>
      <c r="B868" s="76"/>
      <c r="C868" s="76"/>
      <c r="D868" s="76"/>
      <c r="E868" s="77"/>
    </row>
    <row r="869">
      <c r="A869" s="75"/>
      <c r="B869" s="76"/>
      <c r="C869" s="76"/>
      <c r="D869" s="76"/>
      <c r="E869" s="77"/>
    </row>
    <row r="870">
      <c r="A870" s="75"/>
      <c r="B870" s="76"/>
      <c r="C870" s="76"/>
      <c r="D870" s="76"/>
      <c r="E870" s="77"/>
    </row>
    <row r="871">
      <c r="A871" s="75"/>
      <c r="B871" s="76"/>
      <c r="C871" s="76"/>
      <c r="D871" s="76"/>
      <c r="E871" s="77"/>
    </row>
    <row r="872">
      <c r="A872" s="75"/>
      <c r="B872" s="76"/>
      <c r="C872" s="76"/>
      <c r="D872" s="76"/>
      <c r="E872" s="77"/>
    </row>
    <row r="873">
      <c r="A873" s="75"/>
      <c r="B873" s="76"/>
      <c r="C873" s="76"/>
      <c r="D873" s="76"/>
      <c r="E873" s="77"/>
    </row>
    <row r="874">
      <c r="A874" s="75"/>
      <c r="B874" s="76"/>
      <c r="C874" s="76"/>
      <c r="D874" s="76"/>
      <c r="E874" s="77"/>
    </row>
    <row r="875">
      <c r="A875" s="75"/>
      <c r="B875" s="76"/>
      <c r="C875" s="76"/>
      <c r="D875" s="76"/>
      <c r="E875" s="77"/>
    </row>
    <row r="876">
      <c r="A876" s="75"/>
      <c r="B876" s="76"/>
      <c r="C876" s="76"/>
      <c r="D876" s="76"/>
      <c r="E876" s="77"/>
    </row>
    <row r="877">
      <c r="A877" s="75"/>
      <c r="B877" s="76"/>
      <c r="C877" s="76"/>
      <c r="D877" s="76"/>
      <c r="E877" s="77"/>
    </row>
    <row r="878">
      <c r="A878" s="75"/>
      <c r="B878" s="76"/>
      <c r="C878" s="76"/>
      <c r="D878" s="76"/>
      <c r="E878" s="77"/>
    </row>
    <row r="879">
      <c r="A879" s="75"/>
      <c r="B879" s="76"/>
      <c r="C879" s="76"/>
      <c r="D879" s="76"/>
      <c r="E879" s="77"/>
    </row>
    <row r="880">
      <c r="A880" s="75"/>
      <c r="B880" s="76"/>
      <c r="C880" s="76"/>
      <c r="D880" s="76"/>
      <c r="E880" s="77"/>
    </row>
    <row r="881">
      <c r="A881" s="75"/>
      <c r="B881" s="76"/>
      <c r="C881" s="76"/>
      <c r="D881" s="76"/>
      <c r="E881" s="77"/>
    </row>
    <row r="882">
      <c r="A882" s="75"/>
      <c r="B882" s="76"/>
      <c r="C882" s="76"/>
      <c r="D882" s="76"/>
      <c r="E882" s="77"/>
    </row>
    <row r="883">
      <c r="A883" s="75"/>
      <c r="B883" s="76"/>
      <c r="C883" s="76"/>
      <c r="D883" s="76"/>
      <c r="E883" s="77"/>
    </row>
    <row r="884">
      <c r="A884" s="75"/>
      <c r="B884" s="76"/>
      <c r="C884" s="76"/>
      <c r="D884" s="76"/>
      <c r="E884" s="77"/>
    </row>
    <row r="885">
      <c r="A885" s="75"/>
      <c r="B885" s="76"/>
      <c r="C885" s="76"/>
      <c r="D885" s="76"/>
      <c r="E885" s="77"/>
    </row>
    <row r="886">
      <c r="A886" s="75"/>
      <c r="B886" s="76"/>
      <c r="C886" s="76"/>
      <c r="D886" s="76"/>
      <c r="E886" s="77"/>
    </row>
    <row r="887">
      <c r="A887" s="75"/>
      <c r="B887" s="76"/>
      <c r="C887" s="76"/>
      <c r="D887" s="76"/>
      <c r="E887" s="77"/>
    </row>
    <row r="888">
      <c r="A888" s="75"/>
      <c r="B888" s="76"/>
      <c r="C888" s="76"/>
      <c r="D888" s="76"/>
      <c r="E888" s="77"/>
    </row>
    <row r="889">
      <c r="A889" s="75"/>
      <c r="B889" s="76"/>
      <c r="C889" s="76"/>
      <c r="D889" s="76"/>
      <c r="E889" s="77"/>
    </row>
    <row r="890">
      <c r="A890" s="75"/>
      <c r="B890" s="76"/>
      <c r="C890" s="76"/>
      <c r="D890" s="76"/>
      <c r="E890" s="77"/>
    </row>
    <row r="891">
      <c r="A891" s="75"/>
      <c r="B891" s="76"/>
      <c r="C891" s="76"/>
      <c r="D891" s="76"/>
      <c r="E891" s="77"/>
    </row>
    <row r="892">
      <c r="A892" s="75"/>
      <c r="B892" s="76"/>
      <c r="C892" s="76"/>
      <c r="D892" s="76"/>
      <c r="E892" s="77"/>
    </row>
    <row r="893">
      <c r="A893" s="75"/>
      <c r="B893" s="76"/>
      <c r="C893" s="76"/>
      <c r="D893" s="76"/>
      <c r="E893" s="77"/>
    </row>
    <row r="894">
      <c r="A894" s="75"/>
      <c r="B894" s="76"/>
      <c r="C894" s="76"/>
      <c r="D894" s="76"/>
      <c r="E894" s="77"/>
    </row>
    <row r="895">
      <c r="A895" s="75"/>
      <c r="B895" s="76"/>
      <c r="C895" s="76"/>
      <c r="D895" s="76"/>
      <c r="E895" s="77"/>
    </row>
    <row r="896">
      <c r="A896" s="75"/>
      <c r="B896" s="76"/>
      <c r="C896" s="76"/>
      <c r="D896" s="76"/>
      <c r="E896" s="77"/>
    </row>
    <row r="897">
      <c r="A897" s="75"/>
      <c r="B897" s="76"/>
      <c r="C897" s="76"/>
      <c r="D897" s="76"/>
      <c r="E897" s="77"/>
    </row>
    <row r="898">
      <c r="A898" s="75"/>
      <c r="B898" s="76"/>
      <c r="C898" s="76"/>
      <c r="D898" s="76"/>
      <c r="E898" s="77"/>
    </row>
    <row r="899">
      <c r="A899" s="75"/>
      <c r="B899" s="76"/>
      <c r="C899" s="76"/>
      <c r="D899" s="76"/>
      <c r="E899" s="77"/>
    </row>
    <row r="900">
      <c r="A900" s="75"/>
      <c r="B900" s="76"/>
      <c r="C900" s="76"/>
      <c r="D900" s="76"/>
      <c r="E900" s="77"/>
    </row>
    <row r="901">
      <c r="A901" s="75"/>
      <c r="B901" s="76"/>
      <c r="C901" s="76"/>
      <c r="D901" s="76"/>
      <c r="E901" s="77"/>
    </row>
    <row r="902">
      <c r="A902" s="75"/>
      <c r="B902" s="76"/>
      <c r="C902" s="76"/>
      <c r="D902" s="76"/>
      <c r="E902" s="77"/>
    </row>
    <row r="903">
      <c r="A903" s="75"/>
      <c r="B903" s="76"/>
      <c r="C903" s="76"/>
      <c r="D903" s="76"/>
      <c r="E903" s="77"/>
    </row>
    <row r="904">
      <c r="A904" s="75"/>
      <c r="B904" s="76"/>
      <c r="C904" s="76"/>
      <c r="D904" s="76"/>
      <c r="E904" s="77"/>
    </row>
    <row r="905">
      <c r="A905" s="75"/>
      <c r="B905" s="76"/>
      <c r="C905" s="76"/>
      <c r="D905" s="76"/>
      <c r="E905" s="77"/>
    </row>
    <row r="906">
      <c r="A906" s="75"/>
      <c r="B906" s="76"/>
      <c r="C906" s="76"/>
      <c r="D906" s="76"/>
      <c r="E906" s="77"/>
    </row>
    <row r="907">
      <c r="A907" s="75"/>
      <c r="B907" s="76"/>
      <c r="C907" s="76"/>
      <c r="D907" s="76"/>
      <c r="E907" s="77"/>
    </row>
    <row r="908">
      <c r="A908" s="75"/>
      <c r="B908" s="76"/>
      <c r="C908" s="76"/>
      <c r="D908" s="76"/>
      <c r="E908" s="77"/>
    </row>
    <row r="909">
      <c r="A909" s="75"/>
      <c r="B909" s="76"/>
      <c r="C909" s="76"/>
      <c r="D909" s="76"/>
      <c r="E909" s="77"/>
    </row>
    <row r="910">
      <c r="A910" s="75"/>
      <c r="B910" s="76"/>
      <c r="C910" s="76"/>
      <c r="D910" s="76"/>
      <c r="E910" s="77"/>
    </row>
    <row r="911">
      <c r="A911" s="75"/>
      <c r="B911" s="76"/>
      <c r="C911" s="76"/>
      <c r="D911" s="76"/>
      <c r="E911" s="77"/>
    </row>
    <row r="912">
      <c r="A912" s="75"/>
      <c r="B912" s="76"/>
      <c r="C912" s="76"/>
      <c r="D912" s="76"/>
      <c r="E912" s="77"/>
    </row>
    <row r="913">
      <c r="A913" s="75"/>
      <c r="B913" s="76"/>
      <c r="C913" s="76"/>
      <c r="D913" s="76"/>
      <c r="E913" s="77"/>
    </row>
    <row r="914">
      <c r="A914" s="75"/>
      <c r="B914" s="76"/>
      <c r="C914" s="76"/>
      <c r="D914" s="76"/>
      <c r="E914" s="77"/>
    </row>
    <row r="915">
      <c r="A915" s="75"/>
      <c r="B915" s="76"/>
      <c r="C915" s="76"/>
      <c r="D915" s="76"/>
      <c r="E915" s="77"/>
    </row>
    <row r="916">
      <c r="A916" s="75"/>
      <c r="B916" s="76"/>
      <c r="C916" s="76"/>
      <c r="D916" s="76"/>
      <c r="E916" s="77"/>
    </row>
    <row r="917">
      <c r="A917" s="75"/>
      <c r="B917" s="76"/>
      <c r="C917" s="76"/>
      <c r="D917" s="76"/>
      <c r="E917" s="77"/>
    </row>
    <row r="918">
      <c r="A918" s="75"/>
      <c r="B918" s="76"/>
      <c r="C918" s="76"/>
      <c r="D918" s="76"/>
      <c r="E918" s="77"/>
    </row>
    <row r="919">
      <c r="A919" s="75"/>
      <c r="B919" s="76"/>
      <c r="C919" s="76"/>
      <c r="D919" s="76"/>
      <c r="E919" s="77"/>
    </row>
    <row r="920">
      <c r="A920" s="75"/>
      <c r="B920" s="76"/>
      <c r="C920" s="76"/>
      <c r="D920" s="76"/>
      <c r="E920" s="77"/>
    </row>
    <row r="921">
      <c r="A921" s="75"/>
      <c r="B921" s="76"/>
      <c r="C921" s="76"/>
      <c r="D921" s="76"/>
      <c r="E921" s="77"/>
    </row>
    <row r="922">
      <c r="A922" s="75"/>
      <c r="B922" s="76"/>
      <c r="C922" s="76"/>
      <c r="D922" s="76"/>
      <c r="E922" s="77"/>
    </row>
    <row r="923">
      <c r="A923" s="75"/>
      <c r="B923" s="76"/>
      <c r="C923" s="76"/>
      <c r="D923" s="76"/>
      <c r="E923" s="77"/>
    </row>
    <row r="924">
      <c r="A924" s="75"/>
      <c r="B924" s="76"/>
      <c r="C924" s="76"/>
      <c r="D924" s="76"/>
      <c r="E924" s="77"/>
    </row>
    <row r="925">
      <c r="A925" s="75"/>
      <c r="B925" s="76"/>
      <c r="C925" s="76"/>
      <c r="D925" s="76"/>
      <c r="E925" s="77"/>
    </row>
    <row r="926">
      <c r="A926" s="75"/>
      <c r="B926" s="76"/>
      <c r="C926" s="76"/>
      <c r="D926" s="76"/>
      <c r="E926" s="77"/>
    </row>
    <row r="927">
      <c r="A927" s="75"/>
      <c r="B927" s="76"/>
      <c r="C927" s="76"/>
      <c r="D927" s="76"/>
      <c r="E927" s="77"/>
    </row>
    <row r="928">
      <c r="A928" s="75"/>
      <c r="B928" s="76"/>
      <c r="C928" s="76"/>
      <c r="D928" s="76"/>
      <c r="E928" s="77"/>
    </row>
    <row r="929">
      <c r="A929" s="75"/>
      <c r="B929" s="76"/>
      <c r="C929" s="76"/>
      <c r="D929" s="76"/>
      <c r="E929" s="77"/>
    </row>
    <row r="930">
      <c r="A930" s="75"/>
      <c r="B930" s="76"/>
      <c r="C930" s="76"/>
      <c r="D930" s="76"/>
      <c r="E930" s="77"/>
    </row>
    <row r="931">
      <c r="A931" s="75"/>
      <c r="B931" s="76"/>
      <c r="C931" s="76"/>
      <c r="D931" s="76"/>
      <c r="E931" s="77"/>
    </row>
    <row r="932">
      <c r="A932" s="75"/>
      <c r="B932" s="76"/>
      <c r="C932" s="76"/>
      <c r="D932" s="76"/>
      <c r="E932" s="77"/>
    </row>
    <row r="933">
      <c r="A933" s="75"/>
      <c r="B933" s="76"/>
      <c r="C933" s="76"/>
      <c r="D933" s="76"/>
      <c r="E933" s="77"/>
    </row>
    <row r="934">
      <c r="A934" s="75"/>
      <c r="B934" s="76"/>
      <c r="C934" s="76"/>
      <c r="D934" s="76"/>
      <c r="E934" s="77"/>
    </row>
    <row r="935">
      <c r="A935" s="75"/>
      <c r="B935" s="76"/>
      <c r="C935" s="76"/>
      <c r="D935" s="76"/>
      <c r="E935" s="77"/>
    </row>
    <row r="936">
      <c r="A936" s="75"/>
      <c r="B936" s="76"/>
      <c r="C936" s="76"/>
      <c r="D936" s="76"/>
      <c r="E936" s="77"/>
    </row>
    <row r="937">
      <c r="A937" s="75"/>
      <c r="B937" s="76"/>
      <c r="C937" s="76"/>
      <c r="D937" s="76"/>
      <c r="E937" s="77"/>
    </row>
    <row r="938">
      <c r="A938" s="75"/>
      <c r="B938" s="76"/>
      <c r="C938" s="76"/>
      <c r="D938" s="76"/>
      <c r="E938" s="77"/>
    </row>
    <row r="939">
      <c r="A939" s="75"/>
      <c r="B939" s="76"/>
      <c r="C939" s="76"/>
      <c r="D939" s="76"/>
      <c r="E939" s="77"/>
    </row>
    <row r="940">
      <c r="A940" s="75"/>
      <c r="B940" s="76"/>
      <c r="C940" s="76"/>
      <c r="D940" s="76"/>
      <c r="E940" s="77"/>
    </row>
    <row r="941">
      <c r="A941" s="75"/>
      <c r="B941" s="76"/>
      <c r="C941" s="76"/>
      <c r="D941" s="76"/>
      <c r="E941" s="77"/>
    </row>
    <row r="942">
      <c r="A942" s="75"/>
      <c r="B942" s="76"/>
      <c r="C942" s="76"/>
      <c r="D942" s="76"/>
      <c r="E942" s="77"/>
    </row>
    <row r="943">
      <c r="A943" s="75"/>
      <c r="B943" s="76"/>
      <c r="C943" s="76"/>
      <c r="D943" s="76"/>
      <c r="E943" s="77"/>
    </row>
    <row r="944">
      <c r="A944" s="75"/>
      <c r="B944" s="76"/>
      <c r="C944" s="76"/>
      <c r="D944" s="76"/>
      <c r="E944" s="77"/>
    </row>
    <row r="945">
      <c r="A945" s="75"/>
      <c r="B945" s="76"/>
      <c r="C945" s="76"/>
      <c r="D945" s="76"/>
      <c r="E945" s="77"/>
    </row>
    <row r="946">
      <c r="A946" s="75"/>
      <c r="B946" s="76"/>
      <c r="C946" s="76"/>
      <c r="D946" s="76"/>
      <c r="E946" s="77"/>
    </row>
    <row r="947">
      <c r="A947" s="75"/>
      <c r="B947" s="76"/>
      <c r="C947" s="76"/>
      <c r="D947" s="76"/>
      <c r="E947" s="77"/>
    </row>
    <row r="948">
      <c r="A948" s="75"/>
      <c r="B948" s="76"/>
      <c r="C948" s="76"/>
      <c r="D948" s="76"/>
      <c r="E948" s="77"/>
    </row>
    <row r="949">
      <c r="A949" s="75"/>
      <c r="B949" s="76"/>
      <c r="C949" s="76"/>
      <c r="D949" s="76"/>
      <c r="E949" s="77"/>
    </row>
    <row r="950">
      <c r="A950" s="75"/>
      <c r="B950" s="76"/>
      <c r="C950" s="76"/>
      <c r="D950" s="76"/>
      <c r="E950" s="77"/>
    </row>
    <row r="951">
      <c r="A951" s="75"/>
      <c r="B951" s="76"/>
      <c r="C951" s="76"/>
      <c r="D951" s="76"/>
      <c r="E951" s="77"/>
    </row>
    <row r="952">
      <c r="A952" s="75"/>
      <c r="B952" s="76"/>
      <c r="C952" s="76"/>
      <c r="D952" s="76"/>
      <c r="E952" s="77"/>
    </row>
    <row r="953">
      <c r="A953" s="75"/>
      <c r="B953" s="76"/>
      <c r="C953" s="76"/>
      <c r="D953" s="76"/>
      <c r="E953" s="77"/>
    </row>
    <row r="954">
      <c r="A954" s="75"/>
      <c r="B954" s="76"/>
      <c r="C954" s="76"/>
      <c r="D954" s="76"/>
      <c r="E954" s="77"/>
    </row>
    <row r="955">
      <c r="A955" s="75"/>
      <c r="B955" s="76"/>
      <c r="C955" s="76"/>
      <c r="D955" s="76"/>
      <c r="E955" s="77"/>
    </row>
    <row r="956">
      <c r="A956" s="75"/>
      <c r="B956" s="76"/>
      <c r="C956" s="76"/>
      <c r="D956" s="76"/>
      <c r="E956" s="77"/>
    </row>
    <row r="957">
      <c r="A957" s="75"/>
      <c r="B957" s="76"/>
      <c r="C957" s="76"/>
      <c r="D957" s="76"/>
      <c r="E957" s="77"/>
    </row>
    <row r="958">
      <c r="A958" s="75"/>
      <c r="B958" s="76"/>
      <c r="C958" s="76"/>
      <c r="D958" s="76"/>
      <c r="E958" s="77"/>
    </row>
    <row r="959">
      <c r="A959" s="75"/>
      <c r="B959" s="76"/>
      <c r="C959" s="76"/>
      <c r="D959" s="76"/>
      <c r="E959" s="77"/>
    </row>
    <row r="960">
      <c r="A960" s="75"/>
      <c r="B960" s="76"/>
      <c r="C960" s="76"/>
      <c r="D960" s="76"/>
      <c r="E960" s="77"/>
    </row>
    <row r="961">
      <c r="A961" s="75"/>
      <c r="B961" s="76"/>
      <c r="C961" s="76"/>
      <c r="D961" s="76"/>
      <c r="E961" s="77"/>
    </row>
    <row r="962">
      <c r="A962" s="75"/>
      <c r="B962" s="76"/>
      <c r="C962" s="76"/>
      <c r="D962" s="76"/>
      <c r="E962" s="77"/>
    </row>
    <row r="963">
      <c r="A963" s="75"/>
      <c r="B963" s="76"/>
      <c r="C963" s="76"/>
      <c r="D963" s="76"/>
      <c r="E963" s="77"/>
    </row>
    <row r="964">
      <c r="A964" s="75"/>
      <c r="B964" s="76"/>
      <c r="C964" s="76"/>
      <c r="D964" s="76"/>
      <c r="E964" s="77"/>
    </row>
    <row r="965">
      <c r="A965" s="75"/>
      <c r="B965" s="76"/>
      <c r="C965" s="76"/>
      <c r="D965" s="76"/>
      <c r="E965" s="77"/>
    </row>
    <row r="966">
      <c r="A966" s="75"/>
      <c r="B966" s="76"/>
      <c r="C966" s="76"/>
      <c r="D966" s="76"/>
      <c r="E966" s="77"/>
    </row>
    <row r="967">
      <c r="A967" s="75"/>
      <c r="B967" s="76"/>
      <c r="C967" s="76"/>
      <c r="D967" s="76"/>
      <c r="E967" s="77"/>
    </row>
    <row r="968">
      <c r="A968" s="75"/>
      <c r="B968" s="76"/>
      <c r="C968" s="76"/>
      <c r="D968" s="76"/>
      <c r="E968" s="77"/>
    </row>
    <row r="969">
      <c r="A969" s="75"/>
      <c r="B969" s="76"/>
      <c r="C969" s="76"/>
      <c r="D969" s="76"/>
      <c r="E969" s="77"/>
    </row>
    <row r="970">
      <c r="A970" s="75"/>
      <c r="B970" s="76"/>
      <c r="C970" s="76"/>
      <c r="D970" s="76"/>
      <c r="E970" s="77"/>
    </row>
    <row r="971">
      <c r="A971" s="75"/>
      <c r="B971" s="76"/>
      <c r="C971" s="76"/>
      <c r="D971" s="76"/>
      <c r="E971" s="77"/>
    </row>
    <row r="972">
      <c r="A972" s="75"/>
      <c r="B972" s="76"/>
      <c r="C972" s="76"/>
      <c r="D972" s="76"/>
      <c r="E972" s="77"/>
    </row>
    <row r="973">
      <c r="A973" s="75"/>
      <c r="B973" s="76"/>
      <c r="C973" s="76"/>
      <c r="D973" s="76"/>
      <c r="E973" s="77"/>
    </row>
    <row r="974">
      <c r="A974" s="75"/>
      <c r="B974" s="76"/>
      <c r="C974" s="76"/>
      <c r="D974" s="76"/>
      <c r="E974" s="77"/>
    </row>
    <row r="975">
      <c r="A975" s="75"/>
      <c r="B975" s="76"/>
      <c r="C975" s="76"/>
      <c r="D975" s="76"/>
      <c r="E975" s="77"/>
    </row>
    <row r="976">
      <c r="A976" s="75"/>
      <c r="B976" s="76"/>
      <c r="C976" s="76"/>
      <c r="D976" s="76"/>
      <c r="E976" s="77"/>
    </row>
    <row r="977">
      <c r="A977" s="75"/>
      <c r="B977" s="76"/>
      <c r="C977" s="76"/>
      <c r="D977" s="76"/>
      <c r="E977" s="77"/>
    </row>
    <row r="978">
      <c r="A978" s="75"/>
      <c r="B978" s="76"/>
      <c r="C978" s="76"/>
      <c r="D978" s="76"/>
      <c r="E978" s="77"/>
    </row>
    <row r="979">
      <c r="A979" s="75"/>
      <c r="B979" s="76"/>
      <c r="C979" s="76"/>
      <c r="D979" s="76"/>
      <c r="E979" s="77"/>
    </row>
    <row r="980">
      <c r="A980" s="75"/>
      <c r="B980" s="76"/>
      <c r="C980" s="76"/>
      <c r="D980" s="76"/>
      <c r="E980" s="77"/>
    </row>
    <row r="981">
      <c r="A981" s="75"/>
      <c r="B981" s="76"/>
      <c r="C981" s="76"/>
      <c r="D981" s="76"/>
      <c r="E981" s="77"/>
    </row>
    <row r="982">
      <c r="A982" s="75"/>
      <c r="B982" s="76"/>
      <c r="C982" s="76"/>
      <c r="D982" s="76"/>
      <c r="E982" s="77"/>
    </row>
    <row r="983">
      <c r="A983" s="75"/>
      <c r="B983" s="76"/>
      <c r="C983" s="76"/>
      <c r="D983" s="76"/>
      <c r="E983" s="77"/>
    </row>
    <row r="984">
      <c r="A984" s="75"/>
      <c r="B984" s="76"/>
      <c r="C984" s="76"/>
      <c r="D984" s="76"/>
      <c r="E984" s="77"/>
    </row>
    <row r="985">
      <c r="A985" s="75"/>
      <c r="B985" s="76"/>
      <c r="C985" s="76"/>
      <c r="D985" s="76"/>
      <c r="E985" s="77"/>
    </row>
    <row r="986">
      <c r="A986" s="75"/>
      <c r="B986" s="76"/>
      <c r="C986" s="76"/>
      <c r="D986" s="76"/>
      <c r="E986" s="77"/>
    </row>
    <row r="987">
      <c r="A987" s="75"/>
      <c r="B987" s="76"/>
      <c r="C987" s="76"/>
      <c r="D987" s="76"/>
      <c r="E987" s="77"/>
    </row>
    <row r="988">
      <c r="A988" s="75"/>
      <c r="B988" s="76"/>
      <c r="C988" s="76"/>
      <c r="D988" s="76"/>
      <c r="E988" s="77"/>
    </row>
    <row r="989">
      <c r="A989" s="75"/>
      <c r="B989" s="76"/>
      <c r="C989" s="76"/>
      <c r="D989" s="76"/>
      <c r="E989" s="77"/>
    </row>
    <row r="990">
      <c r="A990" s="75"/>
      <c r="B990" s="76"/>
      <c r="C990" s="76"/>
      <c r="D990" s="76"/>
      <c r="E990" s="77"/>
    </row>
    <row r="991">
      <c r="A991" s="75"/>
      <c r="B991" s="76"/>
      <c r="C991" s="76"/>
      <c r="D991" s="76"/>
      <c r="E991" s="77"/>
    </row>
    <row r="992">
      <c r="A992" s="75"/>
      <c r="B992" s="76"/>
      <c r="C992" s="76"/>
      <c r="D992" s="76"/>
      <c r="E992" s="77"/>
    </row>
    <row r="993">
      <c r="A993" s="75"/>
      <c r="B993" s="76"/>
      <c r="C993" s="76"/>
      <c r="D993" s="76"/>
      <c r="E993" s="77"/>
    </row>
    <row r="994">
      <c r="A994" s="75"/>
      <c r="B994" s="76"/>
      <c r="C994" s="76"/>
      <c r="D994" s="76"/>
      <c r="E994" s="77"/>
    </row>
    <row r="995">
      <c r="A995" s="75"/>
      <c r="B995" s="76"/>
      <c r="C995" s="76"/>
      <c r="D995" s="76"/>
      <c r="E995" s="77"/>
    </row>
    <row r="996">
      <c r="A996" s="75"/>
      <c r="B996" s="76"/>
      <c r="C996" s="76"/>
      <c r="D996" s="76"/>
      <c r="E996" s="77"/>
    </row>
    <row r="997">
      <c r="A997" s="75"/>
      <c r="B997" s="76"/>
      <c r="C997" s="76"/>
      <c r="D997" s="76"/>
      <c r="E997" s="77"/>
    </row>
    <row r="998">
      <c r="A998" s="75"/>
      <c r="B998" s="76"/>
      <c r="C998" s="76"/>
      <c r="D998" s="76"/>
      <c r="E998" s="77"/>
    </row>
    <row r="999">
      <c r="A999" s="75"/>
      <c r="B999" s="76"/>
      <c r="C999" s="76"/>
      <c r="D999" s="76"/>
      <c r="E999" s="77"/>
    </row>
    <row r="1000">
      <c r="A1000" s="75"/>
      <c r="B1000" s="76"/>
      <c r="C1000" s="76"/>
      <c r="D1000" s="76"/>
      <c r="E1000" s="77"/>
    </row>
    <row r="1001">
      <c r="A1001" s="75"/>
      <c r="B1001" s="76"/>
      <c r="C1001" s="76"/>
      <c r="D1001" s="76"/>
      <c r="E1001" s="77"/>
    </row>
    <row r="1002">
      <c r="A1002" s="75"/>
      <c r="B1002" s="76"/>
      <c r="C1002" s="76"/>
      <c r="D1002" s="76"/>
      <c r="E1002" s="77"/>
    </row>
    <row r="1003">
      <c r="A1003" s="75"/>
      <c r="B1003" s="76"/>
      <c r="C1003" s="76"/>
      <c r="D1003" s="76"/>
      <c r="E1003" s="77"/>
    </row>
    <row r="1004">
      <c r="A1004" s="75"/>
      <c r="B1004" s="76"/>
      <c r="C1004" s="76"/>
      <c r="D1004" s="76"/>
      <c r="E1004" s="77"/>
    </row>
    <row r="1005">
      <c r="A1005" s="75"/>
      <c r="B1005" s="76"/>
      <c r="C1005" s="76"/>
      <c r="D1005" s="76"/>
      <c r="E1005" s="77"/>
    </row>
    <row r="1006">
      <c r="A1006" s="75"/>
      <c r="B1006" s="76"/>
      <c r="C1006" s="76"/>
      <c r="D1006" s="76"/>
      <c r="E1006" s="77"/>
    </row>
    <row r="1007">
      <c r="A1007" s="75"/>
      <c r="B1007" s="76"/>
      <c r="C1007" s="76"/>
      <c r="D1007" s="76"/>
      <c r="E1007" s="77"/>
    </row>
    <row r="1008">
      <c r="A1008" s="75"/>
      <c r="B1008" s="76"/>
      <c r="C1008" s="76"/>
      <c r="D1008" s="76"/>
      <c r="E1008" s="77"/>
    </row>
    <row r="1009">
      <c r="A1009" s="75"/>
      <c r="B1009" s="76"/>
      <c r="C1009" s="76"/>
      <c r="D1009" s="76"/>
      <c r="E1009" s="77"/>
    </row>
    <row r="1010">
      <c r="A1010" s="75"/>
      <c r="B1010" s="76"/>
      <c r="C1010" s="76"/>
      <c r="D1010" s="76"/>
      <c r="E1010" s="77"/>
    </row>
    <row r="1011">
      <c r="A1011" s="75"/>
      <c r="B1011" s="76"/>
      <c r="C1011" s="76"/>
      <c r="D1011" s="76"/>
      <c r="E1011" s="77"/>
    </row>
    <row r="1012">
      <c r="A1012" s="75"/>
      <c r="B1012" s="76"/>
      <c r="C1012" s="76"/>
      <c r="D1012" s="76"/>
      <c r="E1012" s="77"/>
    </row>
    <row r="1013">
      <c r="A1013" s="75"/>
      <c r="B1013" s="76"/>
      <c r="C1013" s="76"/>
      <c r="D1013" s="76"/>
      <c r="E1013" s="77"/>
    </row>
    <row r="1014">
      <c r="A1014" s="75"/>
      <c r="B1014" s="76"/>
      <c r="C1014" s="76"/>
      <c r="D1014" s="76"/>
      <c r="E1014" s="77"/>
    </row>
    <row r="1015">
      <c r="A1015" s="75"/>
      <c r="B1015" s="76"/>
      <c r="C1015" s="76"/>
      <c r="D1015" s="76"/>
      <c r="E1015" s="77"/>
    </row>
    <row r="1016">
      <c r="A1016" s="75"/>
      <c r="B1016" s="76"/>
      <c r="C1016" s="76"/>
      <c r="D1016" s="76"/>
      <c r="E1016" s="77"/>
    </row>
    <row r="1017">
      <c r="A1017" s="75"/>
      <c r="B1017" s="76"/>
      <c r="C1017" s="76"/>
      <c r="D1017" s="76"/>
      <c r="E1017" s="77"/>
    </row>
    <row r="1018">
      <c r="A1018" s="75"/>
      <c r="B1018" s="76"/>
      <c r="C1018" s="76"/>
      <c r="D1018" s="76"/>
      <c r="E1018" s="77"/>
    </row>
    <row r="1019">
      <c r="A1019" s="75"/>
      <c r="B1019" s="76"/>
      <c r="C1019" s="76"/>
      <c r="D1019" s="76"/>
      <c r="E1019" s="77"/>
    </row>
    <row r="1020">
      <c r="A1020" s="75"/>
      <c r="B1020" s="76"/>
      <c r="C1020" s="76"/>
      <c r="D1020" s="76"/>
      <c r="E1020" s="77"/>
    </row>
    <row r="1021">
      <c r="A1021" s="75"/>
      <c r="B1021" s="76"/>
      <c r="C1021" s="76"/>
      <c r="D1021" s="76"/>
      <c r="E1021" s="77"/>
    </row>
    <row r="1022">
      <c r="A1022" s="75"/>
      <c r="B1022" s="76"/>
      <c r="C1022" s="76"/>
      <c r="D1022" s="76"/>
      <c r="E1022" s="77"/>
    </row>
    <row r="1023">
      <c r="A1023" s="75"/>
      <c r="B1023" s="76"/>
      <c r="C1023" s="76"/>
      <c r="D1023" s="76"/>
      <c r="E1023" s="77"/>
    </row>
    <row r="1024">
      <c r="A1024" s="75"/>
      <c r="B1024" s="76"/>
      <c r="C1024" s="76"/>
      <c r="D1024" s="76"/>
      <c r="E1024" s="77"/>
    </row>
    <row r="1025">
      <c r="A1025" s="75"/>
      <c r="B1025" s="76"/>
      <c r="C1025" s="76"/>
      <c r="D1025" s="76"/>
      <c r="E1025" s="77"/>
    </row>
    <row r="1026">
      <c r="A1026" s="75"/>
      <c r="B1026" s="76"/>
      <c r="C1026" s="76"/>
      <c r="D1026" s="76"/>
      <c r="E1026" s="77"/>
    </row>
    <row r="1027">
      <c r="A1027" s="75"/>
      <c r="B1027" s="76"/>
      <c r="C1027" s="76"/>
      <c r="D1027" s="76"/>
      <c r="E1027" s="77"/>
    </row>
    <row r="1028">
      <c r="A1028" s="75"/>
      <c r="B1028" s="76"/>
      <c r="C1028" s="76"/>
      <c r="D1028" s="76"/>
      <c r="E1028" s="77"/>
    </row>
    <row r="1029">
      <c r="A1029" s="75"/>
      <c r="B1029" s="76"/>
      <c r="C1029" s="76"/>
      <c r="D1029" s="76"/>
      <c r="E1029" s="77"/>
    </row>
    <row r="1030">
      <c r="A1030" s="75"/>
      <c r="B1030" s="76"/>
      <c r="C1030" s="76"/>
      <c r="D1030" s="76"/>
      <c r="E1030" s="77"/>
    </row>
    <row r="1031">
      <c r="A1031" s="75"/>
      <c r="B1031" s="76"/>
      <c r="C1031" s="76"/>
      <c r="D1031" s="76"/>
      <c r="E1031" s="77"/>
    </row>
    <row r="1032">
      <c r="A1032" s="75"/>
      <c r="B1032" s="76"/>
      <c r="C1032" s="76"/>
      <c r="D1032" s="76"/>
      <c r="E1032" s="77"/>
    </row>
    <row r="1033">
      <c r="A1033" s="75"/>
      <c r="B1033" s="76"/>
      <c r="C1033" s="76"/>
      <c r="D1033" s="76"/>
      <c r="E1033" s="77"/>
    </row>
    <row r="1034">
      <c r="A1034" s="75"/>
      <c r="B1034" s="76"/>
      <c r="C1034" s="76"/>
      <c r="D1034" s="76"/>
      <c r="E1034" s="77"/>
    </row>
    <row r="1035">
      <c r="A1035" s="75"/>
      <c r="B1035" s="76"/>
      <c r="C1035" s="76"/>
      <c r="D1035" s="76"/>
      <c r="E1035" s="77"/>
    </row>
    <row r="1036">
      <c r="A1036" s="75"/>
      <c r="B1036" s="76"/>
      <c r="C1036" s="76"/>
      <c r="D1036" s="76"/>
      <c r="E1036" s="77"/>
    </row>
    <row r="1037">
      <c r="A1037" s="75"/>
      <c r="B1037" s="76"/>
      <c r="C1037" s="76"/>
      <c r="D1037" s="76"/>
      <c r="E1037" s="77"/>
    </row>
    <row r="1038">
      <c r="A1038" s="75"/>
      <c r="B1038" s="76"/>
      <c r="C1038" s="76"/>
      <c r="D1038" s="76"/>
      <c r="E1038" s="77"/>
    </row>
    <row r="1039">
      <c r="A1039" s="75"/>
      <c r="B1039" s="76"/>
      <c r="C1039" s="76"/>
      <c r="D1039" s="76"/>
      <c r="E1039" s="77"/>
    </row>
    <row r="1040">
      <c r="A1040" s="75"/>
      <c r="B1040" s="76"/>
      <c r="C1040" s="76"/>
      <c r="D1040" s="76"/>
      <c r="E1040" s="77"/>
    </row>
    <row r="1041">
      <c r="A1041" s="75"/>
      <c r="B1041" s="76"/>
      <c r="C1041" s="76"/>
      <c r="D1041" s="76"/>
      <c r="E1041" s="77"/>
    </row>
    <row r="1042">
      <c r="A1042" s="75"/>
      <c r="B1042" s="76"/>
      <c r="C1042" s="76"/>
      <c r="D1042" s="76"/>
      <c r="E1042" s="77"/>
    </row>
    <row r="1043">
      <c r="A1043" s="75"/>
      <c r="B1043" s="76"/>
      <c r="C1043" s="76"/>
      <c r="D1043" s="76"/>
      <c r="E1043" s="77"/>
    </row>
    <row r="1044">
      <c r="A1044" s="75"/>
      <c r="B1044" s="76"/>
      <c r="C1044" s="76"/>
      <c r="D1044" s="76"/>
      <c r="E1044" s="77"/>
    </row>
    <row r="1045">
      <c r="A1045" s="75"/>
      <c r="B1045" s="76"/>
      <c r="C1045" s="76"/>
      <c r="D1045" s="76"/>
      <c r="E1045" s="77"/>
    </row>
    <row r="1046">
      <c r="A1046" s="75"/>
      <c r="B1046" s="76"/>
      <c r="C1046" s="76"/>
      <c r="D1046" s="76"/>
      <c r="E1046" s="77"/>
    </row>
    <row r="1047">
      <c r="A1047" s="75"/>
      <c r="B1047" s="76"/>
      <c r="C1047" s="76"/>
      <c r="D1047" s="76"/>
      <c r="E1047" s="77"/>
    </row>
    <row r="1048">
      <c r="A1048" s="75"/>
      <c r="B1048" s="76"/>
      <c r="C1048" s="76"/>
      <c r="D1048" s="76"/>
      <c r="E1048" s="77"/>
    </row>
    <row r="1049">
      <c r="A1049" s="75"/>
      <c r="B1049" s="76"/>
      <c r="C1049" s="76"/>
      <c r="D1049" s="76"/>
      <c r="E1049" s="77"/>
    </row>
    <row r="1050">
      <c r="A1050" s="75"/>
      <c r="B1050" s="76"/>
      <c r="C1050" s="76"/>
      <c r="D1050" s="76"/>
      <c r="E1050" s="77"/>
    </row>
    <row r="1051">
      <c r="A1051" s="75"/>
      <c r="B1051" s="76"/>
      <c r="C1051" s="76"/>
      <c r="D1051" s="76"/>
      <c r="E1051" s="77"/>
    </row>
    <row r="1052">
      <c r="A1052" s="75"/>
      <c r="B1052" s="76"/>
      <c r="C1052" s="76"/>
      <c r="D1052" s="76"/>
      <c r="E1052" s="77"/>
    </row>
    <row r="1053">
      <c r="A1053" s="75"/>
      <c r="B1053" s="76"/>
      <c r="C1053" s="76"/>
      <c r="D1053" s="76"/>
      <c r="E1053" s="77"/>
    </row>
    <row r="1054">
      <c r="A1054" s="75"/>
      <c r="B1054" s="76"/>
      <c r="C1054" s="76"/>
      <c r="D1054" s="76"/>
      <c r="E1054" s="77"/>
    </row>
    <row r="1055">
      <c r="A1055" s="75"/>
      <c r="B1055" s="76"/>
      <c r="C1055" s="76"/>
      <c r="D1055" s="76"/>
      <c r="E1055" s="77"/>
    </row>
    <row r="1056">
      <c r="A1056" s="75"/>
      <c r="B1056" s="76"/>
      <c r="C1056" s="76"/>
      <c r="D1056" s="76"/>
      <c r="E1056" s="77"/>
    </row>
    <row r="1057">
      <c r="A1057" s="75"/>
      <c r="B1057" s="76"/>
      <c r="C1057" s="76"/>
      <c r="D1057" s="76"/>
      <c r="E1057" s="77"/>
    </row>
    <row r="1058">
      <c r="A1058" s="75"/>
      <c r="B1058" s="76"/>
      <c r="C1058" s="76"/>
      <c r="D1058" s="76"/>
      <c r="E1058" s="77"/>
    </row>
    <row r="1059">
      <c r="A1059" s="75"/>
      <c r="B1059" s="76"/>
      <c r="C1059" s="76"/>
      <c r="D1059" s="76"/>
      <c r="E1059" s="77"/>
    </row>
    <row r="1060">
      <c r="A1060" s="75"/>
      <c r="B1060" s="76"/>
      <c r="C1060" s="76"/>
      <c r="D1060" s="76"/>
      <c r="E1060" s="77"/>
    </row>
    <row r="1061">
      <c r="A1061" s="75"/>
      <c r="B1061" s="76"/>
      <c r="C1061" s="76"/>
      <c r="D1061" s="76"/>
      <c r="E1061" s="77"/>
    </row>
    <row r="1062">
      <c r="A1062" s="75"/>
      <c r="B1062" s="76"/>
      <c r="C1062" s="76"/>
      <c r="D1062" s="76"/>
      <c r="E1062" s="77"/>
    </row>
    <row r="1063">
      <c r="A1063" s="75"/>
      <c r="B1063" s="76"/>
      <c r="C1063" s="76"/>
      <c r="D1063" s="76"/>
      <c r="E1063" s="77"/>
    </row>
    <row r="1064">
      <c r="A1064" s="75"/>
      <c r="B1064" s="76"/>
      <c r="C1064" s="76"/>
      <c r="D1064" s="76"/>
      <c r="E1064" s="77"/>
    </row>
    <row r="1065">
      <c r="A1065" s="75"/>
      <c r="B1065" s="76"/>
      <c r="C1065" s="76"/>
      <c r="D1065" s="76"/>
      <c r="E1065" s="77"/>
    </row>
    <row r="1066">
      <c r="A1066" s="75"/>
      <c r="B1066" s="76"/>
      <c r="C1066" s="76"/>
      <c r="D1066" s="76"/>
      <c r="E1066" s="77"/>
    </row>
    <row r="1067">
      <c r="A1067" s="75"/>
      <c r="B1067" s="76"/>
      <c r="C1067" s="76"/>
      <c r="D1067" s="76"/>
      <c r="E1067" s="77"/>
    </row>
    <row r="1068">
      <c r="A1068" s="75"/>
      <c r="B1068" s="76"/>
      <c r="C1068" s="76"/>
      <c r="D1068" s="76"/>
      <c r="E1068" s="77"/>
    </row>
    <row r="1069">
      <c r="A1069" s="75"/>
      <c r="B1069" s="76"/>
      <c r="C1069" s="76"/>
      <c r="D1069" s="76"/>
      <c r="E1069" s="77"/>
    </row>
    <row r="1070">
      <c r="A1070" s="75"/>
      <c r="B1070" s="76"/>
      <c r="C1070" s="76"/>
      <c r="D1070" s="76"/>
      <c r="E1070" s="77"/>
    </row>
    <row r="1071">
      <c r="A1071" s="75"/>
      <c r="B1071" s="76"/>
      <c r="C1071" s="76"/>
      <c r="D1071" s="76"/>
      <c r="E1071" s="77"/>
    </row>
    <row r="1072">
      <c r="A1072" s="75"/>
      <c r="B1072" s="76"/>
      <c r="C1072" s="76"/>
      <c r="D1072" s="76"/>
      <c r="E1072" s="77"/>
    </row>
    <row r="1073">
      <c r="A1073" s="75"/>
      <c r="B1073" s="76"/>
      <c r="C1073" s="76"/>
      <c r="D1073" s="76"/>
      <c r="E1073" s="77"/>
    </row>
    <row r="1074">
      <c r="A1074" s="75"/>
      <c r="B1074" s="76"/>
      <c r="C1074" s="76"/>
      <c r="D1074" s="76"/>
      <c r="E1074" s="77"/>
    </row>
    <row r="1075">
      <c r="A1075" s="75"/>
      <c r="B1075" s="76"/>
      <c r="C1075" s="76"/>
      <c r="D1075" s="76"/>
      <c r="E1075" s="77"/>
    </row>
    <row r="1076">
      <c r="A1076" s="75"/>
      <c r="B1076" s="76"/>
      <c r="C1076" s="76"/>
      <c r="D1076" s="76"/>
      <c r="E1076" s="77"/>
    </row>
    <row r="1077">
      <c r="A1077" s="75"/>
      <c r="B1077" s="76"/>
      <c r="C1077" s="76"/>
      <c r="D1077" s="76"/>
      <c r="E1077" s="77"/>
    </row>
    <row r="1078">
      <c r="A1078" s="75"/>
      <c r="B1078" s="76"/>
      <c r="C1078" s="76"/>
      <c r="D1078" s="76"/>
      <c r="E1078" s="77"/>
    </row>
    <row r="1079">
      <c r="A1079" s="75"/>
      <c r="B1079" s="76"/>
      <c r="C1079" s="76"/>
      <c r="D1079" s="76"/>
      <c r="E1079" s="77"/>
    </row>
    <row r="1080">
      <c r="A1080" s="75"/>
      <c r="B1080" s="76"/>
      <c r="C1080" s="76"/>
      <c r="D1080" s="76"/>
      <c r="E1080" s="77"/>
    </row>
    <row r="1081">
      <c r="A1081" s="75"/>
      <c r="B1081" s="76"/>
      <c r="C1081" s="76"/>
      <c r="D1081" s="76"/>
      <c r="E1081" s="77"/>
    </row>
    <row r="1082">
      <c r="A1082" s="75"/>
      <c r="B1082" s="76"/>
      <c r="C1082" s="76"/>
      <c r="D1082" s="76"/>
      <c r="E1082" s="77"/>
    </row>
    <row r="1083">
      <c r="A1083" s="75"/>
      <c r="B1083" s="76"/>
      <c r="C1083" s="76"/>
      <c r="D1083" s="76"/>
      <c r="E1083" s="77"/>
    </row>
    <row r="1084">
      <c r="A1084" s="75"/>
      <c r="B1084" s="76"/>
      <c r="C1084" s="76"/>
      <c r="D1084" s="76"/>
      <c r="E1084" s="77"/>
    </row>
    <row r="1085">
      <c r="A1085" s="75"/>
      <c r="B1085" s="76"/>
      <c r="C1085" s="76"/>
      <c r="D1085" s="76"/>
      <c r="E1085" s="77"/>
    </row>
    <row r="1086">
      <c r="A1086" s="75"/>
      <c r="B1086" s="76"/>
      <c r="C1086" s="76"/>
      <c r="D1086" s="76"/>
      <c r="E1086" s="77"/>
    </row>
    <row r="1087">
      <c r="A1087" s="75"/>
      <c r="B1087" s="76"/>
      <c r="C1087" s="76"/>
      <c r="D1087" s="76"/>
      <c r="E1087" s="77"/>
    </row>
    <row r="1088">
      <c r="A1088" s="75"/>
      <c r="B1088" s="76"/>
      <c r="C1088" s="76"/>
      <c r="D1088" s="76"/>
      <c r="E1088" s="77"/>
    </row>
    <row r="1089">
      <c r="A1089" s="75"/>
      <c r="B1089" s="76"/>
      <c r="C1089" s="76"/>
      <c r="D1089" s="76"/>
      <c r="E1089" s="77"/>
    </row>
    <row r="1090">
      <c r="A1090" s="75"/>
      <c r="B1090" s="76"/>
      <c r="C1090" s="76"/>
      <c r="D1090" s="76"/>
      <c r="E1090" s="77"/>
    </row>
    <row r="1091">
      <c r="A1091" s="75"/>
      <c r="B1091" s="76"/>
      <c r="C1091" s="76"/>
      <c r="D1091" s="76"/>
      <c r="E1091" s="77"/>
    </row>
    <row r="1092">
      <c r="A1092" s="75"/>
      <c r="B1092" s="76"/>
      <c r="C1092" s="76"/>
      <c r="D1092" s="76"/>
      <c r="E1092" s="77"/>
    </row>
    <row r="1093">
      <c r="A1093" s="75"/>
      <c r="B1093" s="76"/>
      <c r="C1093" s="76"/>
      <c r="D1093" s="76"/>
      <c r="E1093" s="77"/>
    </row>
    <row r="1094">
      <c r="A1094" s="75"/>
      <c r="B1094" s="76"/>
      <c r="C1094" s="76"/>
      <c r="D1094" s="76"/>
      <c r="E1094" s="77"/>
    </row>
    <row r="1095">
      <c r="A1095" s="75"/>
      <c r="B1095" s="76"/>
      <c r="C1095" s="76"/>
      <c r="D1095" s="76"/>
      <c r="E1095" s="77"/>
    </row>
    <row r="1096">
      <c r="A1096" s="75"/>
      <c r="B1096" s="76"/>
      <c r="C1096" s="76"/>
      <c r="D1096" s="76"/>
      <c r="E1096" s="77"/>
    </row>
    <row r="1097">
      <c r="A1097" s="75"/>
      <c r="B1097" s="76"/>
      <c r="C1097" s="76"/>
      <c r="D1097" s="76"/>
      <c r="E1097" s="77"/>
    </row>
    <row r="1098">
      <c r="A1098" s="75"/>
      <c r="B1098" s="76"/>
      <c r="C1098" s="76"/>
      <c r="D1098" s="76"/>
      <c r="E1098" s="77"/>
    </row>
    <row r="1099">
      <c r="A1099" s="75"/>
      <c r="B1099" s="76"/>
      <c r="C1099" s="76"/>
      <c r="D1099" s="76"/>
      <c r="E1099" s="77"/>
    </row>
    <row r="1100">
      <c r="A1100" s="75"/>
      <c r="B1100" s="76"/>
      <c r="C1100" s="76"/>
      <c r="D1100" s="76"/>
      <c r="E1100" s="77"/>
    </row>
    <row r="1101">
      <c r="A1101" s="75"/>
      <c r="B1101" s="76"/>
      <c r="C1101" s="76"/>
      <c r="D1101" s="76"/>
      <c r="E1101" s="77"/>
    </row>
    <row r="1102">
      <c r="A1102" s="75"/>
      <c r="B1102" s="76"/>
      <c r="C1102" s="76"/>
      <c r="D1102" s="76"/>
      <c r="E1102" s="77"/>
    </row>
    <row r="1103">
      <c r="A1103" s="75"/>
      <c r="B1103" s="76"/>
      <c r="C1103" s="76"/>
      <c r="D1103" s="76"/>
      <c r="E1103" s="77"/>
    </row>
    <row r="1104">
      <c r="A1104" s="75"/>
      <c r="B1104" s="76"/>
      <c r="C1104" s="76"/>
      <c r="D1104" s="76"/>
      <c r="E1104" s="77"/>
    </row>
    <row r="1105">
      <c r="A1105" s="75"/>
      <c r="B1105" s="76"/>
      <c r="C1105" s="76"/>
      <c r="D1105" s="76"/>
      <c r="E1105" s="77"/>
    </row>
    <row r="1106">
      <c r="A1106" s="75"/>
      <c r="B1106" s="76"/>
      <c r="C1106" s="76"/>
      <c r="D1106" s="76"/>
      <c r="E1106" s="77"/>
    </row>
    <row r="1107">
      <c r="A1107" s="75"/>
      <c r="B1107" s="76"/>
      <c r="C1107" s="76"/>
      <c r="D1107" s="76"/>
      <c r="E1107" s="77"/>
    </row>
    <row r="1108">
      <c r="A1108" s="75"/>
      <c r="B1108" s="76"/>
      <c r="C1108" s="76"/>
      <c r="D1108" s="76"/>
      <c r="E1108" s="77"/>
    </row>
    <row r="1109">
      <c r="A1109" s="75"/>
      <c r="B1109" s="76"/>
      <c r="C1109" s="76"/>
      <c r="D1109" s="76"/>
      <c r="E1109" s="77"/>
    </row>
    <row r="1110">
      <c r="A1110" s="75"/>
      <c r="B1110" s="76"/>
      <c r="C1110" s="76"/>
      <c r="D1110" s="76"/>
      <c r="E1110" s="77"/>
    </row>
    <row r="1111">
      <c r="A1111" s="75"/>
      <c r="B1111" s="76"/>
      <c r="C1111" s="76"/>
      <c r="D1111" s="76"/>
      <c r="E1111" s="77"/>
    </row>
    <row r="1112">
      <c r="A1112" s="75"/>
      <c r="B1112" s="76"/>
      <c r="C1112" s="76"/>
      <c r="D1112" s="76"/>
      <c r="E1112" s="77"/>
    </row>
    <row r="1113">
      <c r="A1113" s="75"/>
      <c r="B1113" s="76"/>
      <c r="C1113" s="76"/>
      <c r="D1113" s="76"/>
      <c r="E1113" s="77"/>
    </row>
    <row r="1114">
      <c r="A1114" s="75"/>
      <c r="B1114" s="76"/>
      <c r="C1114" s="76"/>
      <c r="D1114" s="76"/>
      <c r="E1114" s="77"/>
    </row>
    <row r="1115">
      <c r="A1115" s="75"/>
      <c r="B1115" s="76"/>
      <c r="C1115" s="76"/>
      <c r="D1115" s="76"/>
      <c r="E1115" s="77"/>
    </row>
    <row r="1116">
      <c r="A1116" s="75"/>
      <c r="B1116" s="76"/>
      <c r="C1116" s="76"/>
      <c r="D1116" s="76"/>
      <c r="E1116" s="77"/>
    </row>
    <row r="1117">
      <c r="A1117" s="75"/>
      <c r="B1117" s="76"/>
      <c r="C1117" s="76"/>
      <c r="D1117" s="76"/>
      <c r="E1117" s="77"/>
    </row>
    <row r="1118">
      <c r="A1118" s="75"/>
      <c r="B1118" s="76"/>
      <c r="C1118" s="76"/>
      <c r="D1118" s="76"/>
      <c r="E1118" s="77"/>
    </row>
    <row r="1119">
      <c r="A1119" s="75"/>
      <c r="B1119" s="76"/>
      <c r="C1119" s="76"/>
      <c r="D1119" s="76"/>
      <c r="E1119" s="77"/>
    </row>
    <row r="1120">
      <c r="A1120" s="75"/>
      <c r="B1120" s="76"/>
      <c r="C1120" s="76"/>
      <c r="D1120" s="76"/>
      <c r="E1120" s="77"/>
    </row>
    <row r="1121">
      <c r="A1121" s="75"/>
      <c r="B1121" s="76"/>
      <c r="C1121" s="76"/>
      <c r="D1121" s="76"/>
      <c r="E1121" s="77"/>
    </row>
    <row r="1122">
      <c r="A1122" s="75"/>
      <c r="B1122" s="76"/>
      <c r="C1122" s="76"/>
      <c r="D1122" s="76"/>
      <c r="E1122" s="77"/>
    </row>
    <row r="1123">
      <c r="A1123" s="75"/>
      <c r="B1123" s="76"/>
      <c r="C1123" s="76"/>
      <c r="D1123" s="76"/>
      <c r="E1123" s="77"/>
    </row>
    <row r="1124">
      <c r="A1124" s="75"/>
      <c r="B1124" s="76"/>
      <c r="C1124" s="76"/>
      <c r="D1124" s="76"/>
      <c r="E1124" s="77"/>
    </row>
    <row r="1125">
      <c r="A1125" s="75"/>
      <c r="B1125" s="76"/>
      <c r="C1125" s="76"/>
      <c r="D1125" s="76"/>
      <c r="E1125" s="77"/>
    </row>
    <row r="1126">
      <c r="A1126" s="75"/>
      <c r="B1126" s="76"/>
      <c r="C1126" s="76"/>
      <c r="D1126" s="76"/>
      <c r="E1126" s="77"/>
    </row>
    <row r="1127">
      <c r="A1127" s="75"/>
      <c r="B1127" s="76"/>
      <c r="C1127" s="76"/>
      <c r="D1127" s="76"/>
      <c r="E1127" s="77"/>
    </row>
    <row r="1128">
      <c r="A1128" s="75"/>
      <c r="B1128" s="76"/>
      <c r="C1128" s="76"/>
      <c r="D1128" s="76"/>
      <c r="E1128" s="77"/>
    </row>
    <row r="1129">
      <c r="A1129" s="75"/>
      <c r="B1129" s="76"/>
      <c r="C1129" s="76"/>
      <c r="D1129" s="76"/>
      <c r="E1129" s="77"/>
    </row>
    <row r="1130">
      <c r="A1130" s="75"/>
      <c r="B1130" s="76"/>
      <c r="C1130" s="76"/>
      <c r="D1130" s="76"/>
      <c r="E1130" s="77"/>
    </row>
    <row r="1131">
      <c r="A1131" s="75"/>
      <c r="B1131" s="76"/>
      <c r="C1131" s="76"/>
      <c r="D1131" s="76"/>
      <c r="E1131" s="77"/>
    </row>
    <row r="1132">
      <c r="A1132" s="75"/>
      <c r="B1132" s="76"/>
      <c r="C1132" s="76"/>
      <c r="D1132" s="76"/>
      <c r="E1132" s="77"/>
    </row>
    <row r="1133">
      <c r="A1133" s="75"/>
      <c r="B1133" s="76"/>
      <c r="C1133" s="76"/>
      <c r="D1133" s="76"/>
      <c r="E1133" s="77"/>
    </row>
    <row r="1134">
      <c r="A1134" s="75"/>
      <c r="B1134" s="76"/>
      <c r="C1134" s="76"/>
      <c r="D1134" s="76"/>
      <c r="E1134" s="77"/>
    </row>
    <row r="1135">
      <c r="A1135" s="75"/>
      <c r="B1135" s="76"/>
      <c r="C1135" s="76"/>
      <c r="D1135" s="76"/>
      <c r="E1135" s="77"/>
    </row>
    <row r="1136">
      <c r="A1136" s="75"/>
      <c r="B1136" s="76"/>
      <c r="C1136" s="76"/>
      <c r="D1136" s="76"/>
      <c r="E1136" s="77"/>
    </row>
    <row r="1137">
      <c r="A1137" s="75"/>
      <c r="B1137" s="76"/>
      <c r="C1137" s="76"/>
      <c r="D1137" s="76"/>
      <c r="E1137" s="77"/>
    </row>
    <row r="1138">
      <c r="A1138" s="75"/>
      <c r="B1138" s="76"/>
      <c r="C1138" s="76"/>
      <c r="D1138" s="76"/>
      <c r="E1138" s="77"/>
    </row>
    <row r="1139">
      <c r="A1139" s="75"/>
      <c r="B1139" s="76"/>
      <c r="C1139" s="76"/>
      <c r="D1139" s="76"/>
      <c r="E1139" s="77"/>
    </row>
    <row r="1140">
      <c r="A1140" s="75"/>
      <c r="B1140" s="76"/>
      <c r="C1140" s="76"/>
      <c r="D1140" s="76"/>
      <c r="E1140" s="77"/>
    </row>
    <row r="1141">
      <c r="A1141" s="75"/>
      <c r="B1141" s="76"/>
      <c r="C1141" s="76"/>
      <c r="D1141" s="76"/>
      <c r="E1141" s="77"/>
    </row>
    <row r="1142">
      <c r="A1142" s="75"/>
      <c r="B1142" s="76"/>
      <c r="C1142" s="76"/>
      <c r="D1142" s="76"/>
      <c r="E1142" s="77"/>
    </row>
    <row r="1143">
      <c r="A1143" s="75"/>
      <c r="B1143" s="76"/>
      <c r="C1143" s="76"/>
      <c r="D1143" s="76"/>
      <c r="E1143" s="77"/>
    </row>
    <row r="1144">
      <c r="A1144" s="75"/>
      <c r="B1144" s="76"/>
      <c r="C1144" s="76"/>
      <c r="D1144" s="76"/>
      <c r="E1144" s="77"/>
    </row>
    <row r="1145">
      <c r="A1145" s="75"/>
      <c r="B1145" s="76"/>
      <c r="C1145" s="76"/>
      <c r="D1145" s="76"/>
      <c r="E1145" s="77"/>
    </row>
    <row r="1146">
      <c r="A1146" s="75"/>
      <c r="B1146" s="76"/>
      <c r="C1146" s="76"/>
      <c r="D1146" s="76"/>
      <c r="E1146" s="77"/>
    </row>
    <row r="1147">
      <c r="A1147" s="75"/>
      <c r="B1147" s="76"/>
      <c r="C1147" s="76"/>
      <c r="D1147" s="76"/>
      <c r="E1147" s="77"/>
    </row>
    <row r="1148">
      <c r="A1148" s="75"/>
      <c r="B1148" s="76"/>
      <c r="C1148" s="76"/>
      <c r="D1148" s="76"/>
      <c r="E1148" s="77"/>
    </row>
    <row r="1149">
      <c r="A1149" s="75"/>
      <c r="B1149" s="76"/>
      <c r="C1149" s="76"/>
      <c r="D1149" s="76"/>
      <c r="E1149" s="77"/>
    </row>
    <row r="1150">
      <c r="A1150" s="75"/>
      <c r="B1150" s="76"/>
      <c r="C1150" s="76"/>
      <c r="D1150" s="76"/>
      <c r="E1150" s="77"/>
    </row>
    <row r="1151">
      <c r="A1151" s="75"/>
      <c r="B1151" s="76"/>
      <c r="C1151" s="76"/>
      <c r="D1151" s="76"/>
      <c r="E1151" s="77"/>
    </row>
    <row r="1152">
      <c r="A1152" s="75"/>
      <c r="B1152" s="76"/>
      <c r="C1152" s="76"/>
      <c r="D1152" s="76"/>
      <c r="E1152" s="77"/>
    </row>
    <row r="1153">
      <c r="A1153" s="75"/>
      <c r="B1153" s="76"/>
      <c r="C1153" s="76"/>
      <c r="D1153" s="76"/>
      <c r="E1153" s="77"/>
    </row>
    <row r="1154">
      <c r="A1154" s="75"/>
      <c r="B1154" s="76"/>
      <c r="C1154" s="76"/>
      <c r="D1154" s="76"/>
      <c r="E1154" s="77"/>
    </row>
    <row r="1155">
      <c r="A1155" s="75"/>
      <c r="B1155" s="76"/>
      <c r="C1155" s="76"/>
      <c r="D1155" s="76"/>
      <c r="E1155" s="77"/>
    </row>
    <row r="1156">
      <c r="A1156" s="75"/>
      <c r="B1156" s="76"/>
      <c r="C1156" s="76"/>
      <c r="D1156" s="76"/>
      <c r="E1156" s="77"/>
    </row>
    <row r="1157">
      <c r="A1157" s="75"/>
      <c r="B1157" s="76"/>
      <c r="C1157" s="76"/>
      <c r="D1157" s="76"/>
      <c r="E1157" s="77"/>
    </row>
    <row r="1158">
      <c r="A1158" s="75"/>
      <c r="B1158" s="76"/>
      <c r="C1158" s="76"/>
      <c r="D1158" s="76"/>
      <c r="E1158" s="77"/>
    </row>
    <row r="1159">
      <c r="A1159" s="75"/>
      <c r="B1159" s="76"/>
      <c r="C1159" s="76"/>
      <c r="D1159" s="76"/>
      <c r="E1159" s="77"/>
    </row>
    <row r="1160">
      <c r="A1160" s="75"/>
      <c r="B1160" s="76"/>
      <c r="C1160" s="76"/>
      <c r="D1160" s="76"/>
      <c r="E1160" s="77"/>
    </row>
    <row r="1161">
      <c r="A1161" s="75"/>
      <c r="B1161" s="76"/>
      <c r="C1161" s="76"/>
      <c r="D1161" s="76"/>
      <c r="E1161" s="77"/>
    </row>
    <row r="1162">
      <c r="A1162" s="75"/>
      <c r="B1162" s="76"/>
      <c r="C1162" s="76"/>
      <c r="D1162" s="76"/>
      <c r="E1162" s="77"/>
    </row>
    <row r="1163">
      <c r="A1163" s="75"/>
      <c r="B1163" s="76"/>
      <c r="C1163" s="76"/>
      <c r="D1163" s="76"/>
      <c r="E1163" s="77"/>
    </row>
    <row r="1164">
      <c r="A1164" s="75"/>
      <c r="B1164" s="76"/>
      <c r="C1164" s="76"/>
      <c r="D1164" s="76"/>
      <c r="E1164" s="77"/>
    </row>
    <row r="1165">
      <c r="A1165" s="75"/>
      <c r="B1165" s="76"/>
      <c r="C1165" s="76"/>
      <c r="D1165" s="76"/>
      <c r="E1165" s="77"/>
    </row>
    <row r="1166">
      <c r="A1166" s="75"/>
      <c r="B1166" s="76"/>
      <c r="C1166" s="76"/>
      <c r="D1166" s="76"/>
      <c r="E1166" s="77"/>
    </row>
    <row r="1167">
      <c r="A1167" s="75"/>
      <c r="B1167" s="76"/>
      <c r="C1167" s="76"/>
      <c r="D1167" s="76"/>
      <c r="E1167" s="77"/>
    </row>
    <row r="1168">
      <c r="A1168" s="75"/>
      <c r="B1168" s="76"/>
      <c r="C1168" s="76"/>
      <c r="D1168" s="76"/>
      <c r="E1168" s="77"/>
    </row>
    <row r="1169">
      <c r="A1169" s="75"/>
      <c r="B1169" s="76"/>
      <c r="C1169" s="76"/>
      <c r="D1169" s="76"/>
      <c r="E1169" s="77"/>
    </row>
    <row r="1170">
      <c r="A1170" s="75"/>
      <c r="B1170" s="76"/>
      <c r="C1170" s="76"/>
      <c r="D1170" s="76"/>
      <c r="E1170" s="77"/>
    </row>
    <row r="1171">
      <c r="A1171" s="75"/>
      <c r="B1171" s="76"/>
      <c r="C1171" s="76"/>
      <c r="D1171" s="76"/>
      <c r="E1171" s="77"/>
    </row>
    <row r="1172">
      <c r="A1172" s="75"/>
      <c r="B1172" s="76"/>
      <c r="C1172" s="76"/>
      <c r="D1172" s="76"/>
      <c r="E1172" s="77"/>
    </row>
    <row r="1173">
      <c r="A1173" s="75"/>
      <c r="B1173" s="76"/>
      <c r="C1173" s="76"/>
      <c r="D1173" s="76"/>
      <c r="E1173" s="77"/>
    </row>
    <row r="1174">
      <c r="A1174" s="75"/>
      <c r="B1174" s="76"/>
      <c r="C1174" s="76"/>
      <c r="D1174" s="76"/>
      <c r="E1174" s="77"/>
    </row>
    <row r="1175">
      <c r="A1175" s="75"/>
      <c r="B1175" s="76"/>
      <c r="C1175" s="76"/>
      <c r="D1175" s="76"/>
      <c r="E1175" s="77"/>
    </row>
    <row r="1176">
      <c r="A1176" s="75"/>
      <c r="B1176" s="76"/>
      <c r="C1176" s="76"/>
      <c r="D1176" s="76"/>
      <c r="E1176" s="77"/>
    </row>
    <row r="1177">
      <c r="A1177" s="75"/>
      <c r="B1177" s="76"/>
      <c r="C1177" s="76"/>
      <c r="D1177" s="76"/>
      <c r="E1177" s="77"/>
    </row>
    <row r="1178">
      <c r="A1178" s="75"/>
      <c r="B1178" s="76"/>
      <c r="C1178" s="76"/>
      <c r="D1178" s="76"/>
      <c r="E1178" s="77"/>
    </row>
    <row r="1179">
      <c r="A1179" s="75"/>
      <c r="B1179" s="76"/>
      <c r="C1179" s="76"/>
      <c r="D1179" s="76"/>
      <c r="E1179" s="77"/>
    </row>
    <row r="1180">
      <c r="A1180" s="75"/>
      <c r="B1180" s="76"/>
      <c r="C1180" s="76"/>
      <c r="D1180" s="76"/>
      <c r="E1180" s="77"/>
    </row>
    <row r="1181">
      <c r="A1181" s="75"/>
      <c r="B1181" s="76"/>
      <c r="C1181" s="76"/>
      <c r="D1181" s="76"/>
      <c r="E1181" s="77"/>
    </row>
    <row r="1182">
      <c r="A1182" s="75"/>
      <c r="B1182" s="76"/>
      <c r="C1182" s="76"/>
      <c r="D1182" s="76"/>
      <c r="E1182" s="77"/>
    </row>
    <row r="1183">
      <c r="A1183" s="75"/>
      <c r="B1183" s="76"/>
      <c r="C1183" s="76"/>
      <c r="D1183" s="76"/>
      <c r="E1183" s="77"/>
    </row>
    <row r="1184">
      <c r="A1184" s="75"/>
      <c r="B1184" s="76"/>
      <c r="C1184" s="76"/>
      <c r="D1184" s="76"/>
      <c r="E1184" s="77"/>
    </row>
    <row r="1185">
      <c r="A1185" s="75"/>
      <c r="B1185" s="76"/>
      <c r="C1185" s="76"/>
      <c r="D1185" s="76"/>
      <c r="E1185" s="77"/>
    </row>
    <row r="1186">
      <c r="A1186" s="75"/>
      <c r="B1186" s="76"/>
      <c r="C1186" s="76"/>
      <c r="D1186" s="76"/>
      <c r="E1186" s="77"/>
    </row>
    <row r="1187">
      <c r="A1187" s="75"/>
      <c r="B1187" s="76"/>
      <c r="C1187" s="76"/>
      <c r="D1187" s="76"/>
      <c r="E1187" s="77"/>
    </row>
    <row r="1188">
      <c r="A1188" s="75"/>
      <c r="B1188" s="76"/>
      <c r="C1188" s="76"/>
      <c r="D1188" s="76"/>
      <c r="E1188" s="77"/>
    </row>
    <row r="1189">
      <c r="A1189" s="75"/>
      <c r="B1189" s="76"/>
      <c r="C1189" s="76"/>
      <c r="D1189" s="76"/>
      <c r="E1189" s="77"/>
    </row>
    <row r="1190">
      <c r="A1190" s="75"/>
      <c r="B1190" s="76"/>
      <c r="C1190" s="76"/>
      <c r="D1190" s="76"/>
      <c r="E1190" s="77"/>
    </row>
    <row r="1191">
      <c r="A1191" s="75"/>
      <c r="B1191" s="76"/>
      <c r="C1191" s="76"/>
      <c r="D1191" s="76"/>
      <c r="E1191" s="77"/>
    </row>
    <row r="1192">
      <c r="A1192" s="75"/>
      <c r="B1192" s="76"/>
      <c r="C1192" s="76"/>
      <c r="D1192" s="76"/>
      <c r="E1192" s="77"/>
    </row>
    <row r="1193">
      <c r="A1193" s="75"/>
      <c r="B1193" s="76"/>
      <c r="C1193" s="76"/>
      <c r="D1193" s="76"/>
      <c r="E1193" s="77"/>
    </row>
    <row r="1194">
      <c r="A1194" s="75"/>
      <c r="B1194" s="76"/>
      <c r="C1194" s="76"/>
      <c r="D1194" s="76"/>
      <c r="E1194" s="77"/>
    </row>
    <row r="1195">
      <c r="A1195" s="75"/>
      <c r="B1195" s="76"/>
      <c r="C1195" s="76"/>
      <c r="D1195" s="76"/>
      <c r="E1195" s="77"/>
    </row>
    <row r="1196">
      <c r="A1196" s="75"/>
      <c r="B1196" s="76"/>
      <c r="C1196" s="76"/>
      <c r="D1196" s="76"/>
      <c r="E1196" s="77"/>
    </row>
    <row r="1197">
      <c r="A1197" s="75"/>
      <c r="B1197" s="76"/>
      <c r="C1197" s="76"/>
      <c r="D1197" s="76"/>
      <c r="E1197" s="77"/>
    </row>
    <row r="1198">
      <c r="A1198" s="75"/>
      <c r="B1198" s="76"/>
      <c r="C1198" s="76"/>
      <c r="D1198" s="76"/>
      <c r="E1198" s="77"/>
    </row>
    <row r="1199">
      <c r="A1199" s="75"/>
      <c r="B1199" s="76"/>
      <c r="C1199" s="76"/>
      <c r="D1199" s="76"/>
      <c r="E1199" s="77"/>
    </row>
    <row r="1200">
      <c r="A1200" s="75"/>
      <c r="B1200" s="76"/>
      <c r="C1200" s="76"/>
      <c r="D1200" s="76"/>
      <c r="E1200" s="77"/>
    </row>
    <row r="1201">
      <c r="A1201" s="75"/>
      <c r="B1201" s="76"/>
      <c r="C1201" s="76"/>
      <c r="D1201" s="76"/>
      <c r="E1201" s="77"/>
    </row>
    <row r="1202">
      <c r="A1202" s="75"/>
      <c r="B1202" s="76"/>
      <c r="C1202" s="76"/>
      <c r="D1202" s="76"/>
      <c r="E1202" s="77"/>
    </row>
    <row r="1203">
      <c r="A1203" s="75"/>
      <c r="B1203" s="76"/>
      <c r="C1203" s="76"/>
      <c r="D1203" s="76"/>
      <c r="E1203" s="77"/>
    </row>
    <row r="1204">
      <c r="A1204" s="75"/>
      <c r="B1204" s="76"/>
      <c r="C1204" s="76"/>
      <c r="D1204" s="76"/>
      <c r="E1204" s="77"/>
    </row>
    <row r="1205">
      <c r="A1205" s="75"/>
      <c r="B1205" s="76"/>
      <c r="C1205" s="76"/>
      <c r="D1205" s="76"/>
      <c r="E1205" s="77"/>
    </row>
    <row r="1206">
      <c r="A1206" s="75"/>
      <c r="B1206" s="76"/>
      <c r="C1206" s="76"/>
      <c r="D1206" s="76"/>
      <c r="E1206" s="77"/>
    </row>
    <row r="1207">
      <c r="A1207" s="75"/>
      <c r="B1207" s="76"/>
      <c r="C1207" s="76"/>
      <c r="D1207" s="76"/>
      <c r="E1207" s="77"/>
    </row>
    <row r="1208">
      <c r="A1208" s="75"/>
      <c r="B1208" s="76"/>
      <c r="C1208" s="76"/>
      <c r="D1208" s="76"/>
      <c r="E1208" s="77"/>
    </row>
    <row r="1209">
      <c r="A1209" s="75"/>
      <c r="B1209" s="76"/>
      <c r="C1209" s="76"/>
      <c r="D1209" s="76"/>
      <c r="E1209" s="77"/>
    </row>
    <row r="1210">
      <c r="A1210" s="75"/>
      <c r="B1210" s="76"/>
      <c r="C1210" s="76"/>
      <c r="D1210" s="76"/>
      <c r="E1210" s="77"/>
    </row>
    <row r="1211">
      <c r="A1211" s="75"/>
      <c r="B1211" s="76"/>
      <c r="C1211" s="76"/>
      <c r="D1211" s="76"/>
      <c r="E1211" s="77"/>
    </row>
    <row r="1212">
      <c r="A1212" s="75"/>
      <c r="B1212" s="76"/>
      <c r="C1212" s="76"/>
      <c r="D1212" s="76"/>
      <c r="E1212" s="77"/>
    </row>
    <row r="1213">
      <c r="A1213" s="75"/>
      <c r="B1213" s="76"/>
      <c r="C1213" s="76"/>
      <c r="D1213" s="76"/>
      <c r="E1213" s="77"/>
    </row>
    <row r="1214">
      <c r="A1214" s="75"/>
      <c r="B1214" s="76"/>
      <c r="C1214" s="76"/>
      <c r="D1214" s="76"/>
      <c r="E1214" s="77"/>
    </row>
    <row r="1215">
      <c r="A1215" s="75"/>
      <c r="B1215" s="76"/>
      <c r="C1215" s="76"/>
      <c r="D1215" s="76"/>
      <c r="E1215" s="77"/>
    </row>
    <row r="1216">
      <c r="A1216" s="75"/>
      <c r="B1216" s="76"/>
      <c r="C1216" s="76"/>
      <c r="D1216" s="76"/>
      <c r="E1216" s="77"/>
    </row>
    <row r="1217">
      <c r="A1217" s="75"/>
      <c r="B1217" s="76"/>
      <c r="C1217" s="76"/>
      <c r="D1217" s="76"/>
      <c r="E1217" s="77"/>
    </row>
    <row r="1218">
      <c r="A1218" s="75"/>
      <c r="B1218" s="76"/>
      <c r="C1218" s="76"/>
      <c r="D1218" s="76"/>
      <c r="E1218" s="77"/>
    </row>
    <row r="1219">
      <c r="A1219" s="75"/>
      <c r="B1219" s="76"/>
      <c r="C1219" s="76"/>
      <c r="D1219" s="76"/>
      <c r="E1219" s="77"/>
    </row>
    <row r="1220">
      <c r="A1220" s="75"/>
      <c r="B1220" s="76"/>
      <c r="C1220" s="76"/>
      <c r="D1220" s="76"/>
      <c r="E1220" s="77"/>
    </row>
    <row r="1221">
      <c r="A1221" s="75"/>
      <c r="B1221" s="76"/>
      <c r="C1221" s="76"/>
      <c r="D1221" s="76"/>
      <c r="E1221" s="77"/>
    </row>
    <row r="1222">
      <c r="A1222" s="75"/>
      <c r="B1222" s="76"/>
      <c r="C1222" s="76"/>
      <c r="D1222" s="76"/>
      <c r="E1222" s="77"/>
    </row>
    <row r="1223">
      <c r="A1223" s="75"/>
      <c r="B1223" s="76"/>
      <c r="C1223" s="76"/>
      <c r="D1223" s="76"/>
      <c r="E1223" s="77"/>
    </row>
    <row r="1224">
      <c r="A1224" s="75"/>
      <c r="B1224" s="76"/>
      <c r="C1224" s="76"/>
      <c r="D1224" s="76"/>
      <c r="E1224" s="77"/>
    </row>
    <row r="1225">
      <c r="A1225" s="75"/>
      <c r="B1225" s="76"/>
      <c r="C1225" s="76"/>
      <c r="D1225" s="76"/>
      <c r="E1225" s="77"/>
    </row>
    <row r="1226">
      <c r="A1226" s="75"/>
      <c r="B1226" s="76"/>
      <c r="C1226" s="76"/>
      <c r="D1226" s="76"/>
      <c r="E1226" s="77"/>
    </row>
    <row r="1227">
      <c r="A1227" s="75"/>
      <c r="B1227" s="76"/>
      <c r="C1227" s="76"/>
      <c r="D1227" s="76"/>
      <c r="E1227" s="77"/>
    </row>
    <row r="1228">
      <c r="A1228" s="75"/>
      <c r="B1228" s="76"/>
      <c r="C1228" s="76"/>
      <c r="D1228" s="76"/>
      <c r="E1228" s="77"/>
    </row>
    <row r="1229">
      <c r="A1229" s="75"/>
      <c r="B1229" s="76"/>
      <c r="C1229" s="76"/>
      <c r="D1229" s="76"/>
      <c r="E1229" s="77"/>
    </row>
    <row r="1230">
      <c r="A1230" s="75"/>
      <c r="B1230" s="76"/>
      <c r="C1230" s="76"/>
      <c r="D1230" s="76"/>
      <c r="E1230" s="77"/>
    </row>
    <row r="1231">
      <c r="A1231" s="75"/>
      <c r="B1231" s="76"/>
      <c r="C1231" s="76"/>
      <c r="D1231" s="76"/>
      <c r="E1231" s="77"/>
    </row>
    <row r="1232">
      <c r="A1232" s="75"/>
      <c r="B1232" s="76"/>
      <c r="C1232" s="76"/>
      <c r="D1232" s="76"/>
      <c r="E1232" s="77"/>
    </row>
    <row r="1233">
      <c r="A1233" s="75"/>
      <c r="B1233" s="76"/>
      <c r="C1233" s="76"/>
      <c r="D1233" s="76"/>
      <c r="E1233" s="77"/>
    </row>
    <row r="1234">
      <c r="A1234" s="75"/>
      <c r="B1234" s="76"/>
      <c r="C1234" s="76"/>
      <c r="D1234" s="76"/>
      <c r="E1234" s="77"/>
    </row>
    <row r="1235">
      <c r="A1235" s="75"/>
      <c r="B1235" s="76"/>
      <c r="C1235" s="76"/>
      <c r="D1235" s="76"/>
      <c r="E1235" s="77"/>
    </row>
    <row r="1236">
      <c r="A1236" s="75"/>
      <c r="B1236" s="76"/>
      <c r="C1236" s="76"/>
      <c r="D1236" s="76"/>
      <c r="E1236" s="77"/>
    </row>
    <row r="1237">
      <c r="A1237" s="75"/>
      <c r="B1237" s="76"/>
      <c r="C1237" s="76"/>
      <c r="D1237" s="76"/>
      <c r="E1237" s="77"/>
    </row>
    <row r="1238">
      <c r="A1238" s="75"/>
      <c r="B1238" s="76"/>
      <c r="C1238" s="76"/>
      <c r="D1238" s="76"/>
      <c r="E1238" s="77"/>
    </row>
    <row r="1239">
      <c r="A1239" s="75"/>
      <c r="B1239" s="76"/>
      <c r="C1239" s="76"/>
      <c r="D1239" s="76"/>
      <c r="E1239" s="77"/>
    </row>
    <row r="1240">
      <c r="A1240" s="75"/>
      <c r="B1240" s="76"/>
      <c r="C1240" s="76"/>
      <c r="D1240" s="76"/>
      <c r="E1240" s="77"/>
    </row>
    <row r="1241">
      <c r="A1241" s="75"/>
      <c r="B1241" s="76"/>
      <c r="C1241" s="76"/>
      <c r="D1241" s="76"/>
      <c r="E1241" s="77"/>
    </row>
    <row r="1242">
      <c r="A1242" s="75"/>
      <c r="B1242" s="76"/>
      <c r="C1242" s="76"/>
      <c r="D1242" s="76"/>
      <c r="E1242" s="77"/>
    </row>
    <row r="1243">
      <c r="A1243" s="75"/>
      <c r="B1243" s="76"/>
      <c r="C1243" s="76"/>
      <c r="D1243" s="76"/>
      <c r="E1243" s="77"/>
    </row>
    <row r="1244">
      <c r="A1244" s="75"/>
      <c r="B1244" s="76"/>
      <c r="C1244" s="76"/>
      <c r="D1244" s="76"/>
      <c r="E1244" s="77"/>
    </row>
    <row r="1245">
      <c r="A1245" s="75"/>
      <c r="B1245" s="76"/>
      <c r="C1245" s="76"/>
      <c r="D1245" s="76"/>
      <c r="E1245" s="77"/>
    </row>
    <row r="1246">
      <c r="A1246" s="75"/>
      <c r="B1246" s="76"/>
      <c r="C1246" s="76"/>
      <c r="D1246" s="76"/>
      <c r="E1246" s="77"/>
    </row>
    <row r="1247">
      <c r="A1247" s="75"/>
      <c r="B1247" s="76"/>
      <c r="C1247" s="76"/>
      <c r="D1247" s="76"/>
      <c r="E1247" s="77"/>
    </row>
    <row r="1248">
      <c r="A1248" s="75"/>
      <c r="B1248" s="76"/>
      <c r="C1248" s="76"/>
      <c r="D1248" s="76"/>
      <c r="E1248" s="77"/>
    </row>
    <row r="1249">
      <c r="A1249" s="75"/>
      <c r="B1249" s="76"/>
      <c r="C1249" s="76"/>
      <c r="D1249" s="76"/>
      <c r="E1249" s="77"/>
    </row>
    <row r="1250">
      <c r="A1250" s="75"/>
      <c r="B1250" s="76"/>
      <c r="C1250" s="76"/>
      <c r="D1250" s="76"/>
      <c r="E1250" s="77"/>
    </row>
    <row r="1251">
      <c r="A1251" s="75"/>
      <c r="B1251" s="76"/>
      <c r="C1251" s="76"/>
      <c r="D1251" s="76"/>
      <c r="E1251" s="77"/>
    </row>
    <row r="1252">
      <c r="A1252" s="75"/>
      <c r="B1252" s="76"/>
      <c r="C1252" s="76"/>
      <c r="D1252" s="76"/>
      <c r="E1252" s="77"/>
    </row>
    <row r="1253">
      <c r="A1253" s="75"/>
      <c r="B1253" s="76"/>
      <c r="C1253" s="76"/>
      <c r="D1253" s="76"/>
      <c r="E1253" s="77"/>
    </row>
    <row r="1254">
      <c r="A1254" s="75"/>
      <c r="B1254" s="76"/>
      <c r="C1254" s="76"/>
      <c r="D1254" s="76"/>
      <c r="E1254" s="77"/>
    </row>
    <row r="1255">
      <c r="A1255" s="75"/>
      <c r="B1255" s="76"/>
      <c r="C1255" s="76"/>
      <c r="D1255" s="76"/>
      <c r="E1255" s="77"/>
    </row>
    <row r="1256">
      <c r="A1256" s="75"/>
      <c r="B1256" s="76"/>
      <c r="C1256" s="76"/>
      <c r="D1256" s="76"/>
      <c r="E1256" s="77"/>
    </row>
    <row r="1257">
      <c r="A1257" s="75"/>
      <c r="B1257" s="76"/>
      <c r="C1257" s="76"/>
      <c r="D1257" s="76"/>
      <c r="E1257" s="77"/>
    </row>
    <row r="1258">
      <c r="A1258" s="75"/>
      <c r="B1258" s="76"/>
      <c r="C1258" s="76"/>
      <c r="D1258" s="76"/>
      <c r="E1258" s="77"/>
    </row>
    <row r="1259">
      <c r="A1259" s="75"/>
      <c r="B1259" s="76"/>
      <c r="C1259" s="76"/>
      <c r="D1259" s="76"/>
      <c r="E1259" s="77"/>
    </row>
    <row r="1260">
      <c r="A1260" s="75"/>
      <c r="B1260" s="76"/>
      <c r="C1260" s="76"/>
      <c r="D1260" s="76"/>
      <c r="E1260" s="77"/>
    </row>
    <row r="1261">
      <c r="A1261" s="75"/>
      <c r="B1261" s="76"/>
      <c r="C1261" s="76"/>
      <c r="D1261" s="76"/>
      <c r="E1261" s="77"/>
    </row>
    <row r="1262">
      <c r="A1262" s="75"/>
      <c r="B1262" s="76"/>
      <c r="C1262" s="76"/>
      <c r="D1262" s="76"/>
      <c r="E1262" s="77"/>
    </row>
    <row r="1263">
      <c r="A1263" s="75"/>
      <c r="B1263" s="76"/>
      <c r="C1263" s="76"/>
      <c r="D1263" s="76"/>
      <c r="E1263" s="77"/>
    </row>
    <row r="1264">
      <c r="A1264" s="75"/>
      <c r="B1264" s="76"/>
      <c r="C1264" s="76"/>
      <c r="D1264" s="76"/>
      <c r="E1264" s="77"/>
    </row>
    <row r="1265">
      <c r="A1265" s="75"/>
      <c r="B1265" s="76"/>
      <c r="C1265" s="76"/>
      <c r="D1265" s="76"/>
      <c r="E1265" s="77"/>
    </row>
    <row r="1266">
      <c r="A1266" s="75"/>
      <c r="B1266" s="76"/>
      <c r="C1266" s="76"/>
      <c r="D1266" s="76"/>
      <c r="E1266" s="77"/>
    </row>
    <row r="1267">
      <c r="A1267" s="75"/>
      <c r="B1267" s="76"/>
      <c r="C1267" s="76"/>
      <c r="D1267" s="76"/>
      <c r="E1267" s="77"/>
    </row>
    <row r="1268">
      <c r="A1268" s="75"/>
      <c r="B1268" s="76"/>
      <c r="C1268" s="76"/>
      <c r="D1268" s="76"/>
      <c r="E1268" s="77"/>
    </row>
    <row r="1269">
      <c r="A1269" s="75"/>
      <c r="B1269" s="76"/>
      <c r="C1269" s="76"/>
      <c r="D1269" s="76"/>
      <c r="E1269" s="77"/>
    </row>
    <row r="1270">
      <c r="A1270" s="75"/>
      <c r="B1270" s="76"/>
      <c r="C1270" s="76"/>
      <c r="D1270" s="76"/>
      <c r="E1270" s="77"/>
    </row>
    <row r="1271">
      <c r="A1271" s="75"/>
      <c r="B1271" s="76"/>
      <c r="C1271" s="76"/>
      <c r="D1271" s="76"/>
      <c r="E1271" s="77"/>
    </row>
    <row r="1272">
      <c r="A1272" s="75"/>
      <c r="B1272" s="76"/>
      <c r="C1272" s="76"/>
      <c r="D1272" s="76"/>
      <c r="E1272" s="77"/>
    </row>
    <row r="1273">
      <c r="A1273" s="75"/>
      <c r="B1273" s="76"/>
      <c r="C1273" s="76"/>
      <c r="D1273" s="76"/>
      <c r="E1273" s="77"/>
    </row>
    <row r="1274">
      <c r="A1274" s="75"/>
      <c r="B1274" s="76"/>
      <c r="C1274" s="76"/>
      <c r="D1274" s="76"/>
      <c r="E1274" s="77"/>
    </row>
    <row r="1275">
      <c r="A1275" s="75"/>
      <c r="B1275" s="76"/>
      <c r="C1275" s="76"/>
      <c r="D1275" s="76"/>
      <c r="E1275" s="77"/>
    </row>
    <row r="1276">
      <c r="A1276" s="75"/>
      <c r="B1276" s="76"/>
      <c r="C1276" s="76"/>
      <c r="D1276" s="76"/>
      <c r="E1276" s="77"/>
    </row>
    <row r="1277">
      <c r="A1277" s="75"/>
      <c r="B1277" s="76"/>
      <c r="C1277" s="76"/>
      <c r="D1277" s="76"/>
      <c r="E1277" s="77"/>
    </row>
    <row r="1278">
      <c r="A1278" s="75"/>
      <c r="B1278" s="76"/>
      <c r="C1278" s="76"/>
      <c r="D1278" s="76"/>
      <c r="E1278" s="77"/>
    </row>
    <row r="1279">
      <c r="A1279" s="75"/>
      <c r="B1279" s="76"/>
      <c r="C1279" s="76"/>
      <c r="D1279" s="76"/>
      <c r="E1279" s="77"/>
    </row>
    <row r="1280">
      <c r="A1280" s="75"/>
      <c r="B1280" s="76"/>
      <c r="C1280" s="76"/>
      <c r="D1280" s="76"/>
      <c r="E1280" s="77"/>
    </row>
    <row r="1281">
      <c r="A1281" s="75"/>
      <c r="B1281" s="76"/>
      <c r="C1281" s="76"/>
      <c r="D1281" s="76"/>
      <c r="E1281" s="77"/>
    </row>
    <row r="1282">
      <c r="A1282" s="75"/>
      <c r="B1282" s="76"/>
      <c r="C1282" s="76"/>
      <c r="D1282" s="76"/>
      <c r="E1282" s="77"/>
    </row>
    <row r="1283">
      <c r="A1283" s="75"/>
      <c r="B1283" s="76"/>
      <c r="C1283" s="76"/>
      <c r="D1283" s="76"/>
      <c r="E1283" s="77"/>
    </row>
    <row r="1284">
      <c r="A1284" s="75"/>
      <c r="B1284" s="76"/>
      <c r="C1284" s="76"/>
      <c r="D1284" s="76"/>
      <c r="E1284" s="77"/>
    </row>
    <row r="1285">
      <c r="A1285" s="75"/>
      <c r="B1285" s="76"/>
      <c r="C1285" s="76"/>
      <c r="D1285" s="76"/>
      <c r="E1285" s="77"/>
    </row>
    <row r="1286">
      <c r="A1286" s="75"/>
      <c r="B1286" s="76"/>
      <c r="C1286" s="76"/>
      <c r="D1286" s="76"/>
      <c r="E1286" s="77"/>
    </row>
    <row r="1287">
      <c r="A1287" s="75"/>
      <c r="B1287" s="76"/>
      <c r="C1287" s="76"/>
      <c r="D1287" s="76"/>
      <c r="E1287" s="77"/>
    </row>
    <row r="1288">
      <c r="A1288" s="75"/>
      <c r="B1288" s="76"/>
      <c r="C1288" s="76"/>
      <c r="D1288" s="76"/>
      <c r="E1288" s="77"/>
    </row>
    <row r="1289">
      <c r="A1289" s="75"/>
      <c r="B1289" s="76"/>
      <c r="C1289" s="76"/>
      <c r="D1289" s="76"/>
      <c r="E1289" s="77"/>
    </row>
    <row r="1290">
      <c r="A1290" s="75"/>
      <c r="B1290" s="76"/>
      <c r="C1290" s="76"/>
      <c r="D1290" s="76"/>
      <c r="E1290" s="77"/>
    </row>
    <row r="1291">
      <c r="A1291" s="75"/>
      <c r="B1291" s="76"/>
      <c r="C1291" s="76"/>
      <c r="D1291" s="76"/>
      <c r="E1291" s="77"/>
    </row>
    <row r="1292">
      <c r="A1292" s="75"/>
      <c r="B1292" s="76"/>
      <c r="C1292" s="76"/>
      <c r="D1292" s="76"/>
      <c r="E1292" s="77"/>
    </row>
    <row r="1293">
      <c r="A1293" s="75"/>
      <c r="B1293" s="76"/>
      <c r="C1293" s="76"/>
      <c r="D1293" s="76"/>
      <c r="E1293" s="77"/>
    </row>
    <row r="1294">
      <c r="A1294" s="75"/>
      <c r="B1294" s="76"/>
      <c r="C1294" s="76"/>
      <c r="D1294" s="76"/>
      <c r="E1294" s="77"/>
    </row>
    <row r="1295">
      <c r="A1295" s="75"/>
      <c r="B1295" s="76"/>
      <c r="C1295" s="76"/>
      <c r="D1295" s="76"/>
      <c r="E1295" s="77"/>
    </row>
    <row r="1296">
      <c r="A1296" s="75"/>
      <c r="B1296" s="76"/>
      <c r="C1296" s="76"/>
      <c r="D1296" s="76"/>
      <c r="E1296" s="77"/>
    </row>
    <row r="1297">
      <c r="A1297" s="75"/>
      <c r="B1297" s="76"/>
      <c r="C1297" s="76"/>
      <c r="D1297" s="76"/>
      <c r="E1297" s="77"/>
    </row>
    <row r="1298">
      <c r="A1298" s="75"/>
      <c r="B1298" s="76"/>
      <c r="C1298" s="76"/>
      <c r="D1298" s="76"/>
      <c r="E1298" s="77"/>
    </row>
    <row r="1299">
      <c r="A1299" s="75"/>
      <c r="B1299" s="76"/>
      <c r="C1299" s="76"/>
      <c r="D1299" s="76"/>
      <c r="E1299" s="77"/>
    </row>
    <row r="1300">
      <c r="A1300" s="75"/>
      <c r="B1300" s="76"/>
      <c r="C1300" s="76"/>
      <c r="D1300" s="76"/>
      <c r="E1300" s="77"/>
    </row>
    <row r="1301">
      <c r="A1301" s="75"/>
      <c r="B1301" s="76"/>
      <c r="C1301" s="76"/>
      <c r="D1301" s="76"/>
      <c r="E1301" s="77"/>
    </row>
    <row r="1302">
      <c r="A1302" s="75"/>
      <c r="B1302" s="76"/>
      <c r="C1302" s="76"/>
      <c r="D1302" s="76"/>
      <c r="E1302" s="77"/>
    </row>
    <row r="1303">
      <c r="A1303" s="75"/>
      <c r="B1303" s="76"/>
      <c r="C1303" s="76"/>
      <c r="D1303" s="76"/>
      <c r="E1303" s="77"/>
    </row>
    <row r="1304">
      <c r="A1304" s="75"/>
      <c r="B1304" s="76"/>
      <c r="C1304" s="76"/>
      <c r="D1304" s="76"/>
      <c r="E1304" s="77"/>
    </row>
    <row r="1305">
      <c r="A1305" s="75"/>
      <c r="B1305" s="76"/>
      <c r="C1305" s="76"/>
      <c r="D1305" s="76"/>
      <c r="E1305" s="77"/>
    </row>
    <row r="1306">
      <c r="A1306" s="75"/>
      <c r="B1306" s="76"/>
      <c r="C1306" s="76"/>
      <c r="D1306" s="76"/>
      <c r="E1306" s="77"/>
    </row>
    <row r="1307">
      <c r="A1307" s="75"/>
      <c r="B1307" s="76"/>
      <c r="C1307" s="76"/>
      <c r="D1307" s="76"/>
      <c r="E1307" s="77"/>
    </row>
    <row r="1308">
      <c r="A1308" s="75"/>
      <c r="B1308" s="76"/>
      <c r="C1308" s="76"/>
      <c r="D1308" s="76"/>
      <c r="E1308" s="77"/>
    </row>
    <row r="1309">
      <c r="A1309" s="75"/>
      <c r="B1309" s="76"/>
      <c r="C1309" s="76"/>
      <c r="D1309" s="76"/>
      <c r="E1309" s="77"/>
    </row>
    <row r="1310">
      <c r="A1310" s="75"/>
      <c r="B1310" s="76"/>
      <c r="C1310" s="76"/>
      <c r="D1310" s="76"/>
      <c r="E1310" s="77"/>
    </row>
    <row r="1311">
      <c r="A1311" s="75"/>
      <c r="B1311" s="76"/>
      <c r="C1311" s="76"/>
      <c r="D1311" s="76"/>
      <c r="E1311" s="77"/>
    </row>
    <row r="1312">
      <c r="A1312" s="75"/>
      <c r="B1312" s="76"/>
      <c r="C1312" s="76"/>
      <c r="D1312" s="76"/>
      <c r="E1312" s="77"/>
    </row>
    <row r="1313">
      <c r="A1313" s="75"/>
      <c r="B1313" s="76"/>
      <c r="C1313" s="76"/>
      <c r="D1313" s="76"/>
      <c r="E1313" s="77"/>
    </row>
    <row r="1314">
      <c r="A1314" s="75"/>
      <c r="B1314" s="76"/>
      <c r="C1314" s="76"/>
      <c r="D1314" s="76"/>
      <c r="E1314" s="77"/>
    </row>
    <row r="1315">
      <c r="A1315" s="75"/>
      <c r="B1315" s="76"/>
      <c r="C1315" s="76"/>
      <c r="D1315" s="76"/>
      <c r="E1315" s="77"/>
    </row>
    <row r="1316">
      <c r="A1316" s="75"/>
      <c r="B1316" s="76"/>
      <c r="C1316" s="76"/>
      <c r="D1316" s="76"/>
      <c r="E1316" s="77"/>
    </row>
    <row r="1317">
      <c r="A1317" s="75"/>
      <c r="B1317" s="76"/>
      <c r="C1317" s="76"/>
      <c r="D1317" s="76"/>
      <c r="E1317" s="77"/>
    </row>
    <row r="1318">
      <c r="A1318" s="75"/>
      <c r="B1318" s="76"/>
      <c r="C1318" s="76"/>
      <c r="D1318" s="76"/>
      <c r="E1318" s="77"/>
    </row>
    <row r="1319">
      <c r="A1319" s="75"/>
      <c r="B1319" s="76"/>
      <c r="C1319" s="76"/>
      <c r="D1319" s="76"/>
      <c r="E1319" s="77"/>
    </row>
    <row r="1320">
      <c r="A1320" s="75"/>
      <c r="B1320" s="76"/>
      <c r="C1320" s="76"/>
      <c r="D1320" s="76"/>
      <c r="E1320" s="77"/>
    </row>
    <row r="1321">
      <c r="A1321" s="75"/>
      <c r="B1321" s="76"/>
      <c r="C1321" s="76"/>
      <c r="D1321" s="76"/>
      <c r="E1321" s="77"/>
    </row>
    <row r="1322">
      <c r="A1322" s="75"/>
      <c r="B1322" s="76"/>
      <c r="C1322" s="76"/>
      <c r="D1322" s="76"/>
      <c r="E1322" s="77"/>
    </row>
    <row r="1323">
      <c r="A1323" s="75"/>
      <c r="B1323" s="76"/>
      <c r="C1323" s="76"/>
      <c r="D1323" s="76"/>
      <c r="E1323" s="77"/>
    </row>
    <row r="1324">
      <c r="A1324" s="75"/>
      <c r="B1324" s="76"/>
      <c r="C1324" s="76"/>
      <c r="D1324" s="76"/>
      <c r="E1324" s="77"/>
    </row>
    <row r="1325">
      <c r="A1325" s="75"/>
      <c r="B1325" s="76"/>
      <c r="C1325" s="76"/>
      <c r="D1325" s="76"/>
      <c r="E1325" s="77"/>
    </row>
    <row r="1326">
      <c r="A1326" s="75"/>
      <c r="B1326" s="76"/>
      <c r="C1326" s="76"/>
      <c r="D1326" s="76"/>
      <c r="E1326" s="77"/>
    </row>
    <row r="1327">
      <c r="A1327" s="75"/>
      <c r="B1327" s="76"/>
      <c r="C1327" s="76"/>
      <c r="D1327" s="76"/>
      <c r="E1327" s="77"/>
    </row>
    <row r="1328">
      <c r="A1328" s="75"/>
      <c r="B1328" s="76"/>
      <c r="C1328" s="76"/>
      <c r="D1328" s="76"/>
      <c r="E1328" s="77"/>
    </row>
    <row r="1329">
      <c r="A1329" s="75"/>
      <c r="B1329" s="76"/>
      <c r="C1329" s="76"/>
      <c r="D1329" s="76"/>
      <c r="E1329" s="77"/>
    </row>
    <row r="1330">
      <c r="A1330" s="75"/>
      <c r="B1330" s="76"/>
      <c r="C1330" s="76"/>
      <c r="D1330" s="76"/>
      <c r="E1330" s="77"/>
    </row>
    <row r="1331">
      <c r="A1331" s="75"/>
      <c r="B1331" s="76"/>
      <c r="C1331" s="76"/>
      <c r="D1331" s="76"/>
      <c r="E1331" s="77"/>
    </row>
    <row r="1332">
      <c r="A1332" s="75"/>
      <c r="B1332" s="76"/>
      <c r="C1332" s="76"/>
      <c r="D1332" s="76"/>
      <c r="E1332" s="77"/>
    </row>
    <row r="1333">
      <c r="A1333" s="75"/>
      <c r="B1333" s="76"/>
      <c r="C1333" s="76"/>
      <c r="D1333" s="76"/>
      <c r="E1333" s="77"/>
    </row>
    <row r="1334">
      <c r="A1334" s="75"/>
      <c r="B1334" s="76"/>
      <c r="C1334" s="76"/>
      <c r="D1334" s="76"/>
      <c r="E1334" s="77"/>
    </row>
    <row r="1335">
      <c r="A1335" s="75"/>
      <c r="B1335" s="76"/>
      <c r="C1335" s="76"/>
      <c r="D1335" s="76"/>
      <c r="E1335" s="77"/>
    </row>
    <row r="1336">
      <c r="A1336" s="75"/>
      <c r="B1336" s="76"/>
      <c r="C1336" s="76"/>
      <c r="D1336" s="76"/>
      <c r="E1336" s="77"/>
    </row>
    <row r="1337">
      <c r="A1337" s="75"/>
      <c r="B1337" s="76"/>
      <c r="C1337" s="76"/>
      <c r="D1337" s="76"/>
      <c r="E1337" s="77"/>
    </row>
    <row r="1338">
      <c r="A1338" s="75"/>
      <c r="B1338" s="76"/>
      <c r="C1338" s="76"/>
      <c r="D1338" s="76"/>
      <c r="E1338" s="77"/>
    </row>
    <row r="1339">
      <c r="A1339" s="75"/>
      <c r="B1339" s="76"/>
      <c r="C1339" s="76"/>
      <c r="D1339" s="76"/>
      <c r="E1339" s="77"/>
    </row>
    <row r="1340">
      <c r="A1340" s="75"/>
      <c r="B1340" s="76"/>
      <c r="C1340" s="76"/>
      <c r="D1340" s="76"/>
      <c r="E1340" s="77"/>
    </row>
    <row r="1341">
      <c r="A1341" s="75"/>
      <c r="B1341" s="76"/>
      <c r="C1341" s="76"/>
      <c r="D1341" s="76"/>
      <c r="E1341" s="77"/>
    </row>
    <row r="1342">
      <c r="A1342" s="75"/>
      <c r="B1342" s="76"/>
      <c r="C1342" s="76"/>
      <c r="D1342" s="76"/>
      <c r="E1342" s="77"/>
    </row>
    <row r="1343">
      <c r="A1343" s="75"/>
      <c r="B1343" s="76"/>
      <c r="C1343" s="76"/>
      <c r="D1343" s="76"/>
      <c r="E1343" s="77"/>
    </row>
    <row r="1344">
      <c r="A1344" s="75"/>
      <c r="B1344" s="76"/>
      <c r="C1344" s="76"/>
      <c r="D1344" s="76"/>
      <c r="E1344" s="77"/>
    </row>
    <row r="1345">
      <c r="A1345" s="75"/>
      <c r="B1345" s="76"/>
      <c r="C1345" s="76"/>
      <c r="D1345" s="76"/>
      <c r="E1345" s="77"/>
    </row>
    <row r="1346">
      <c r="A1346" s="75"/>
      <c r="B1346" s="76"/>
      <c r="C1346" s="76"/>
      <c r="D1346" s="76"/>
      <c r="E1346" s="77"/>
    </row>
    <row r="1347">
      <c r="A1347" s="75"/>
      <c r="B1347" s="76"/>
      <c r="C1347" s="76"/>
      <c r="D1347" s="76"/>
      <c r="E1347" s="77"/>
    </row>
    <row r="1348">
      <c r="A1348" s="75"/>
      <c r="B1348" s="76"/>
      <c r="C1348" s="76"/>
      <c r="D1348" s="76"/>
      <c r="E1348" s="77"/>
    </row>
    <row r="1349">
      <c r="A1349" s="75"/>
      <c r="B1349" s="76"/>
      <c r="C1349" s="76"/>
      <c r="D1349" s="76"/>
      <c r="E1349" s="77"/>
    </row>
    <row r="1350">
      <c r="A1350" s="75"/>
      <c r="B1350" s="76"/>
      <c r="C1350" s="76"/>
      <c r="D1350" s="76"/>
      <c r="E1350" s="77"/>
    </row>
    <row r="1351">
      <c r="A1351" s="75"/>
      <c r="B1351" s="76"/>
      <c r="C1351" s="76"/>
      <c r="D1351" s="76"/>
      <c r="E1351" s="77"/>
    </row>
    <row r="1352">
      <c r="A1352" s="75"/>
      <c r="B1352" s="76"/>
      <c r="C1352" s="76"/>
      <c r="D1352" s="76"/>
      <c r="E1352" s="77"/>
    </row>
    <row r="1353">
      <c r="A1353" s="75"/>
      <c r="B1353" s="76"/>
      <c r="C1353" s="76"/>
      <c r="D1353" s="76"/>
      <c r="E1353" s="77"/>
    </row>
    <row r="1354">
      <c r="A1354" s="75"/>
      <c r="B1354" s="76"/>
      <c r="C1354" s="76"/>
      <c r="D1354" s="76"/>
      <c r="E1354" s="77"/>
    </row>
    <row r="1355">
      <c r="A1355" s="75"/>
      <c r="B1355" s="76"/>
      <c r="C1355" s="76"/>
      <c r="D1355" s="76"/>
      <c r="E1355" s="77"/>
    </row>
    <row r="1356">
      <c r="A1356" s="75"/>
      <c r="B1356" s="76"/>
      <c r="C1356" s="76"/>
      <c r="D1356" s="76"/>
      <c r="E1356" s="77"/>
    </row>
    <row r="1357">
      <c r="A1357" s="75"/>
      <c r="B1357" s="76"/>
      <c r="C1357" s="76"/>
      <c r="D1357" s="76"/>
      <c r="E1357" s="77"/>
    </row>
    <row r="1358">
      <c r="A1358" s="75"/>
      <c r="B1358" s="76"/>
      <c r="C1358" s="76"/>
      <c r="D1358" s="76"/>
      <c r="E1358" s="77"/>
    </row>
    <row r="1359">
      <c r="A1359" s="75"/>
      <c r="B1359" s="76"/>
      <c r="C1359" s="76"/>
      <c r="D1359" s="76"/>
      <c r="E1359" s="77"/>
    </row>
    <row r="1360">
      <c r="A1360" s="75"/>
      <c r="B1360" s="76"/>
      <c r="C1360" s="76"/>
      <c r="D1360" s="76"/>
      <c r="E1360" s="77"/>
    </row>
    <row r="1361">
      <c r="A1361" s="75"/>
      <c r="B1361" s="76"/>
      <c r="C1361" s="76"/>
      <c r="D1361" s="76"/>
      <c r="E1361" s="77"/>
    </row>
    <row r="1362">
      <c r="A1362" s="75"/>
      <c r="B1362" s="76"/>
      <c r="C1362" s="76"/>
      <c r="D1362" s="76"/>
      <c r="E1362" s="77"/>
    </row>
    <row r="1363">
      <c r="A1363" s="75"/>
      <c r="B1363" s="76"/>
      <c r="C1363" s="76"/>
      <c r="D1363" s="76"/>
      <c r="E1363" s="77"/>
    </row>
    <row r="1364">
      <c r="A1364" s="75"/>
      <c r="B1364" s="76"/>
      <c r="C1364" s="76"/>
      <c r="D1364" s="76"/>
      <c r="E1364" s="77"/>
    </row>
    <row r="1365">
      <c r="A1365" s="75"/>
      <c r="B1365" s="76"/>
      <c r="C1365" s="76"/>
      <c r="D1365" s="76"/>
      <c r="E1365" s="77"/>
    </row>
    <row r="1366">
      <c r="A1366" s="75"/>
      <c r="B1366" s="76"/>
      <c r="C1366" s="76"/>
      <c r="D1366" s="76"/>
      <c r="E1366" s="77"/>
    </row>
    <row r="1367">
      <c r="A1367" s="75"/>
      <c r="B1367" s="76"/>
      <c r="C1367" s="76"/>
      <c r="D1367" s="76"/>
      <c r="E1367" s="77"/>
    </row>
    <row r="1368">
      <c r="A1368" s="75"/>
      <c r="B1368" s="76"/>
      <c r="C1368" s="76"/>
      <c r="D1368" s="76"/>
      <c r="E1368" s="77"/>
    </row>
    <row r="1369">
      <c r="A1369" s="75"/>
      <c r="B1369" s="76"/>
      <c r="C1369" s="76"/>
      <c r="D1369" s="76"/>
      <c r="E1369" s="77"/>
    </row>
    <row r="1370">
      <c r="A1370" s="75"/>
      <c r="B1370" s="76"/>
      <c r="C1370" s="76"/>
      <c r="D1370" s="76"/>
      <c r="E1370" s="77"/>
    </row>
    <row r="1371">
      <c r="A1371" s="75"/>
      <c r="B1371" s="76"/>
      <c r="C1371" s="76"/>
      <c r="D1371" s="76"/>
      <c r="E1371" s="77"/>
    </row>
    <row r="1372">
      <c r="A1372" s="75"/>
      <c r="B1372" s="76"/>
      <c r="C1372" s="76"/>
      <c r="D1372" s="76"/>
      <c r="E1372" s="77"/>
    </row>
    <row r="1373">
      <c r="A1373" s="75"/>
      <c r="B1373" s="76"/>
      <c r="C1373" s="76"/>
      <c r="D1373" s="76"/>
      <c r="E1373" s="77"/>
    </row>
    <row r="1374">
      <c r="A1374" s="75"/>
      <c r="B1374" s="76"/>
      <c r="C1374" s="76"/>
      <c r="D1374" s="76"/>
      <c r="E1374" s="77"/>
    </row>
    <row r="1375">
      <c r="A1375" s="75"/>
      <c r="B1375" s="76"/>
      <c r="C1375" s="76"/>
      <c r="D1375" s="76"/>
      <c r="E1375" s="77"/>
    </row>
    <row r="1376">
      <c r="A1376" s="75"/>
      <c r="B1376" s="76"/>
      <c r="C1376" s="76"/>
      <c r="D1376" s="76"/>
      <c r="E1376" s="77"/>
    </row>
    <row r="1377">
      <c r="A1377" s="75"/>
      <c r="B1377" s="76"/>
      <c r="C1377" s="76"/>
      <c r="D1377" s="76"/>
      <c r="E1377" s="77"/>
    </row>
    <row r="1378">
      <c r="A1378" s="75"/>
      <c r="B1378" s="76"/>
      <c r="C1378" s="76"/>
      <c r="D1378" s="76"/>
      <c r="E1378" s="77"/>
    </row>
    <row r="1379">
      <c r="A1379" s="75"/>
      <c r="B1379" s="76"/>
      <c r="C1379" s="76"/>
      <c r="D1379" s="76"/>
      <c r="E1379" s="77"/>
    </row>
    <row r="1380">
      <c r="A1380" s="75"/>
      <c r="B1380" s="76"/>
      <c r="C1380" s="76"/>
      <c r="D1380" s="76"/>
      <c r="E1380" s="77"/>
    </row>
    <row r="1381">
      <c r="A1381" s="75"/>
      <c r="B1381" s="76"/>
      <c r="C1381" s="76"/>
      <c r="D1381" s="76"/>
      <c r="E1381" s="77"/>
    </row>
    <row r="1382">
      <c r="A1382" s="75"/>
      <c r="B1382" s="76"/>
      <c r="C1382" s="76"/>
      <c r="D1382" s="76"/>
      <c r="E1382" s="77"/>
    </row>
    <row r="1383">
      <c r="A1383" s="75"/>
      <c r="B1383" s="76"/>
      <c r="C1383" s="76"/>
      <c r="D1383" s="76"/>
      <c r="E1383" s="77"/>
    </row>
    <row r="1384">
      <c r="A1384" s="75"/>
      <c r="B1384" s="76"/>
      <c r="C1384" s="76"/>
      <c r="D1384" s="76"/>
      <c r="E1384" s="77"/>
    </row>
    <row r="1385">
      <c r="A1385" s="75"/>
      <c r="B1385" s="76"/>
      <c r="C1385" s="76"/>
      <c r="D1385" s="76"/>
      <c r="E1385" s="77"/>
    </row>
    <row r="1386">
      <c r="A1386" s="75"/>
      <c r="B1386" s="76"/>
      <c r="C1386" s="76"/>
      <c r="D1386" s="76"/>
      <c r="E1386" s="77"/>
    </row>
    <row r="1387">
      <c r="A1387" s="75"/>
      <c r="B1387" s="76"/>
      <c r="C1387" s="76"/>
      <c r="D1387" s="76"/>
      <c r="E1387" s="77"/>
    </row>
    <row r="1388">
      <c r="A1388" s="75"/>
      <c r="B1388" s="76"/>
      <c r="C1388" s="76"/>
      <c r="D1388" s="76"/>
      <c r="E1388" s="77"/>
    </row>
    <row r="1389">
      <c r="A1389" s="75"/>
      <c r="B1389" s="76"/>
      <c r="C1389" s="76"/>
      <c r="D1389" s="76"/>
      <c r="E1389" s="77"/>
    </row>
    <row r="1390">
      <c r="A1390" s="75"/>
      <c r="B1390" s="76"/>
      <c r="C1390" s="76"/>
      <c r="D1390" s="76"/>
      <c r="E1390" s="77"/>
    </row>
    <row r="1391">
      <c r="A1391" s="75"/>
      <c r="B1391" s="76"/>
      <c r="C1391" s="76"/>
      <c r="D1391" s="76"/>
      <c r="E1391" s="77"/>
    </row>
    <row r="1392">
      <c r="A1392" s="75"/>
      <c r="B1392" s="76"/>
      <c r="C1392" s="76"/>
      <c r="D1392" s="76"/>
      <c r="E1392" s="77"/>
    </row>
    <row r="1393">
      <c r="A1393" s="75"/>
      <c r="B1393" s="76"/>
      <c r="C1393" s="76"/>
      <c r="D1393" s="76"/>
      <c r="E1393" s="77"/>
    </row>
    <row r="1394">
      <c r="A1394" s="75"/>
      <c r="B1394" s="76"/>
      <c r="C1394" s="76"/>
      <c r="D1394" s="76"/>
      <c r="E1394" s="77"/>
    </row>
    <row r="1395">
      <c r="A1395" s="75"/>
      <c r="B1395" s="76"/>
      <c r="C1395" s="76"/>
      <c r="D1395" s="76"/>
      <c r="E1395" s="77"/>
    </row>
    <row r="1396">
      <c r="A1396" s="75"/>
      <c r="B1396" s="76"/>
      <c r="C1396" s="76"/>
      <c r="D1396" s="76"/>
      <c r="E1396" s="77"/>
    </row>
    <row r="1397">
      <c r="A1397" s="75"/>
      <c r="B1397" s="76"/>
      <c r="C1397" s="76"/>
      <c r="D1397" s="76"/>
      <c r="E1397" s="77"/>
    </row>
    <row r="1398">
      <c r="A1398" s="75"/>
      <c r="B1398" s="76"/>
      <c r="C1398" s="76"/>
      <c r="D1398" s="76"/>
      <c r="E1398" s="77"/>
    </row>
    <row r="1399">
      <c r="A1399" s="75"/>
      <c r="B1399" s="76"/>
      <c r="C1399" s="76"/>
      <c r="D1399" s="76"/>
      <c r="E1399" s="77"/>
    </row>
    <row r="1400">
      <c r="A1400" s="75"/>
      <c r="B1400" s="76"/>
      <c r="C1400" s="76"/>
      <c r="D1400" s="76"/>
      <c r="E1400" s="77"/>
    </row>
    <row r="1401">
      <c r="A1401" s="75"/>
      <c r="B1401" s="76"/>
      <c r="C1401" s="76"/>
      <c r="D1401" s="76"/>
      <c r="E1401" s="77"/>
    </row>
    <row r="1402">
      <c r="A1402" s="75"/>
      <c r="B1402" s="76"/>
      <c r="C1402" s="76"/>
      <c r="D1402" s="76"/>
      <c r="E1402" s="77"/>
    </row>
    <row r="1403">
      <c r="A1403" s="75"/>
      <c r="B1403" s="76"/>
      <c r="C1403" s="76"/>
      <c r="D1403" s="76"/>
      <c r="E1403" s="77"/>
    </row>
    <row r="1404">
      <c r="A1404" s="75"/>
      <c r="B1404" s="76"/>
      <c r="C1404" s="76"/>
      <c r="D1404" s="76"/>
      <c r="E1404" s="77"/>
    </row>
    <row r="1405">
      <c r="A1405" s="75"/>
      <c r="B1405" s="76"/>
      <c r="C1405" s="76"/>
      <c r="D1405" s="76"/>
      <c r="E1405" s="77"/>
    </row>
    <row r="1406">
      <c r="A1406" s="75"/>
      <c r="B1406" s="76"/>
      <c r="C1406" s="76"/>
      <c r="D1406" s="76"/>
      <c r="E1406" s="77"/>
    </row>
    <row r="1407">
      <c r="A1407" s="75"/>
      <c r="B1407" s="76"/>
      <c r="C1407" s="76"/>
      <c r="D1407" s="76"/>
      <c r="E1407" s="77"/>
    </row>
    <row r="1408">
      <c r="A1408" s="75"/>
      <c r="B1408" s="76"/>
      <c r="C1408" s="76"/>
      <c r="D1408" s="76"/>
      <c r="E1408" s="77"/>
    </row>
    <row r="1409">
      <c r="A1409" s="75"/>
      <c r="B1409" s="76"/>
      <c r="C1409" s="76"/>
      <c r="D1409" s="76"/>
      <c r="E1409" s="77"/>
    </row>
    <row r="1410">
      <c r="A1410" s="75"/>
      <c r="B1410" s="76"/>
      <c r="C1410" s="76"/>
      <c r="D1410" s="76"/>
      <c r="E1410" s="77"/>
    </row>
    <row r="1411">
      <c r="A1411" s="75"/>
      <c r="B1411" s="76"/>
      <c r="C1411" s="76"/>
      <c r="D1411" s="76"/>
      <c r="E1411" s="77"/>
    </row>
    <row r="1412">
      <c r="A1412" s="75"/>
      <c r="B1412" s="76"/>
      <c r="C1412" s="76"/>
      <c r="D1412" s="76"/>
      <c r="E1412" s="77"/>
    </row>
    <row r="1413">
      <c r="A1413" s="75"/>
      <c r="B1413" s="76"/>
      <c r="C1413" s="76"/>
      <c r="D1413" s="76"/>
      <c r="E1413" s="77"/>
    </row>
    <row r="1414">
      <c r="A1414" s="75"/>
      <c r="B1414" s="76"/>
      <c r="C1414" s="76"/>
      <c r="D1414" s="76"/>
      <c r="E1414" s="77"/>
    </row>
    <row r="1415">
      <c r="A1415" s="75"/>
      <c r="B1415" s="76"/>
      <c r="C1415" s="76"/>
      <c r="D1415" s="76"/>
      <c r="E1415" s="77"/>
    </row>
    <row r="1416">
      <c r="A1416" s="75"/>
      <c r="B1416" s="76"/>
      <c r="C1416" s="76"/>
      <c r="D1416" s="76"/>
      <c r="E1416" s="77"/>
    </row>
    <row r="1417">
      <c r="A1417" s="75"/>
      <c r="B1417" s="76"/>
      <c r="C1417" s="76"/>
      <c r="D1417" s="76"/>
      <c r="E1417" s="77"/>
    </row>
    <row r="1418">
      <c r="A1418" s="75"/>
      <c r="B1418" s="76"/>
      <c r="C1418" s="76"/>
      <c r="D1418" s="76"/>
      <c r="E1418" s="77"/>
    </row>
    <row r="1419">
      <c r="A1419" s="75"/>
      <c r="B1419" s="76"/>
      <c r="C1419" s="76"/>
      <c r="D1419" s="76"/>
      <c r="E1419" s="77"/>
    </row>
    <row r="1420">
      <c r="A1420" s="75"/>
      <c r="B1420" s="76"/>
      <c r="C1420" s="76"/>
      <c r="D1420" s="76"/>
      <c r="E1420" s="77"/>
    </row>
    <row r="1421">
      <c r="A1421" s="75"/>
      <c r="B1421" s="76"/>
      <c r="C1421" s="76"/>
      <c r="D1421" s="76"/>
      <c r="E1421" s="77"/>
    </row>
    <row r="1422">
      <c r="A1422" s="75"/>
      <c r="B1422" s="76"/>
      <c r="C1422" s="76"/>
      <c r="D1422" s="76"/>
      <c r="E1422" s="77"/>
    </row>
    <row r="1423">
      <c r="A1423" s="75"/>
      <c r="B1423" s="76"/>
      <c r="C1423" s="76"/>
      <c r="D1423" s="76"/>
      <c r="E1423" s="77"/>
    </row>
    <row r="1424">
      <c r="A1424" s="75"/>
      <c r="B1424" s="76"/>
      <c r="C1424" s="76"/>
      <c r="D1424" s="76"/>
      <c r="E1424" s="77"/>
    </row>
    <row r="1425">
      <c r="A1425" s="75"/>
      <c r="B1425" s="76"/>
      <c r="C1425" s="76"/>
      <c r="D1425" s="76"/>
      <c r="E1425" s="77"/>
    </row>
    <row r="1426">
      <c r="A1426" s="75"/>
      <c r="B1426" s="76"/>
      <c r="C1426" s="76"/>
      <c r="D1426" s="76"/>
      <c r="E1426" s="77"/>
    </row>
    <row r="1427">
      <c r="A1427" s="75"/>
      <c r="B1427" s="76"/>
      <c r="C1427" s="76"/>
      <c r="D1427" s="76"/>
      <c r="E1427" s="77"/>
    </row>
    <row r="1428">
      <c r="A1428" s="75"/>
      <c r="B1428" s="76"/>
      <c r="C1428" s="76"/>
      <c r="D1428" s="76"/>
      <c r="E1428" s="77"/>
    </row>
    <row r="1429">
      <c r="A1429" s="75"/>
      <c r="B1429" s="76"/>
      <c r="C1429" s="76"/>
      <c r="D1429" s="76"/>
      <c r="E1429" s="77"/>
    </row>
    <row r="1430">
      <c r="A1430" s="75"/>
      <c r="B1430" s="76"/>
      <c r="C1430" s="76"/>
      <c r="D1430" s="76"/>
      <c r="E1430" s="77"/>
    </row>
    <row r="1431">
      <c r="A1431" s="75"/>
      <c r="B1431" s="76"/>
      <c r="C1431" s="76"/>
      <c r="D1431" s="76"/>
      <c r="E1431" s="77"/>
    </row>
    <row r="1432">
      <c r="A1432" s="75"/>
      <c r="B1432" s="76"/>
      <c r="C1432" s="76"/>
      <c r="D1432" s="76"/>
      <c r="E1432" s="77"/>
    </row>
    <row r="1433">
      <c r="A1433" s="75"/>
      <c r="B1433" s="76"/>
      <c r="C1433" s="76"/>
      <c r="D1433" s="76"/>
      <c r="E1433" s="77"/>
    </row>
    <row r="1434">
      <c r="A1434" s="75"/>
      <c r="B1434" s="76"/>
      <c r="C1434" s="76"/>
      <c r="D1434" s="76"/>
      <c r="E1434" s="77"/>
    </row>
    <row r="1435">
      <c r="A1435" s="75"/>
      <c r="B1435" s="76"/>
      <c r="C1435" s="76"/>
      <c r="D1435" s="76"/>
      <c r="E1435" s="77"/>
    </row>
    <row r="1436">
      <c r="A1436" s="75"/>
      <c r="B1436" s="76"/>
      <c r="C1436" s="76"/>
      <c r="D1436" s="76"/>
      <c r="E1436" s="77"/>
    </row>
    <row r="1437">
      <c r="A1437" s="75"/>
      <c r="B1437" s="76"/>
      <c r="C1437" s="76"/>
      <c r="D1437" s="76"/>
      <c r="E1437" s="77"/>
    </row>
    <row r="1438">
      <c r="A1438" s="75"/>
      <c r="B1438" s="76"/>
      <c r="C1438" s="76"/>
      <c r="D1438" s="76"/>
      <c r="E1438" s="77"/>
    </row>
    <row r="1439">
      <c r="A1439" s="75"/>
      <c r="B1439" s="76"/>
      <c r="C1439" s="76"/>
      <c r="D1439" s="76"/>
      <c r="E1439" s="77"/>
    </row>
    <row r="1440">
      <c r="A1440" s="75"/>
      <c r="B1440" s="76"/>
      <c r="C1440" s="76"/>
      <c r="D1440" s="76"/>
      <c r="E1440" s="77"/>
    </row>
    <row r="1441">
      <c r="A1441" s="75"/>
      <c r="B1441" s="76"/>
      <c r="C1441" s="76"/>
      <c r="D1441" s="76"/>
      <c r="E1441" s="77"/>
    </row>
    <row r="1442">
      <c r="A1442" s="75"/>
      <c r="B1442" s="76"/>
      <c r="C1442" s="76"/>
      <c r="D1442" s="76"/>
      <c r="E1442" s="77"/>
    </row>
    <row r="1443">
      <c r="A1443" s="75"/>
      <c r="B1443" s="76"/>
      <c r="C1443" s="76"/>
      <c r="D1443" s="76"/>
      <c r="E1443" s="77"/>
    </row>
    <row r="1444">
      <c r="A1444" s="75"/>
      <c r="B1444" s="76"/>
      <c r="C1444" s="76"/>
      <c r="D1444" s="76"/>
      <c r="E1444" s="77"/>
    </row>
    <row r="1445">
      <c r="A1445" s="75"/>
      <c r="B1445" s="76"/>
      <c r="C1445" s="76"/>
      <c r="D1445" s="76"/>
      <c r="E1445" s="77"/>
    </row>
    <row r="1446">
      <c r="A1446" s="75"/>
      <c r="B1446" s="76"/>
      <c r="C1446" s="76"/>
      <c r="D1446" s="76"/>
      <c r="E1446" s="77"/>
    </row>
    <row r="1447">
      <c r="A1447" s="75"/>
      <c r="B1447" s="76"/>
      <c r="C1447" s="76"/>
      <c r="D1447" s="76"/>
      <c r="E1447" s="77"/>
    </row>
    <row r="1448">
      <c r="A1448" s="75"/>
      <c r="B1448" s="76"/>
      <c r="C1448" s="76"/>
      <c r="D1448" s="76"/>
      <c r="E1448" s="77"/>
    </row>
    <row r="1449">
      <c r="A1449" s="75"/>
      <c r="B1449" s="76"/>
      <c r="C1449" s="76"/>
      <c r="D1449" s="76"/>
      <c r="E1449" s="77"/>
    </row>
    <row r="1450">
      <c r="A1450" s="75"/>
      <c r="B1450" s="76"/>
      <c r="C1450" s="76"/>
      <c r="D1450" s="76"/>
      <c r="E1450" s="77"/>
    </row>
    <row r="1451">
      <c r="A1451" s="75"/>
      <c r="B1451" s="76"/>
      <c r="C1451" s="76"/>
      <c r="D1451" s="76"/>
      <c r="E1451" s="77"/>
    </row>
    <row r="1452">
      <c r="A1452" s="75"/>
      <c r="B1452" s="76"/>
      <c r="C1452" s="76"/>
      <c r="D1452" s="76"/>
      <c r="E1452" s="77"/>
    </row>
    <row r="1453">
      <c r="A1453" s="75"/>
      <c r="B1453" s="76"/>
      <c r="C1453" s="76"/>
      <c r="D1453" s="76"/>
      <c r="E1453" s="77"/>
    </row>
    <row r="1454">
      <c r="A1454" s="75"/>
      <c r="B1454" s="76"/>
      <c r="C1454" s="76"/>
      <c r="D1454" s="76"/>
      <c r="E1454" s="77"/>
    </row>
    <row r="1455">
      <c r="A1455" s="75"/>
      <c r="B1455" s="76"/>
      <c r="C1455" s="76"/>
      <c r="D1455" s="76"/>
      <c r="E1455" s="77"/>
    </row>
    <row r="1456">
      <c r="A1456" s="75"/>
      <c r="B1456" s="76"/>
      <c r="C1456" s="76"/>
      <c r="D1456" s="76"/>
      <c r="E1456" s="77"/>
    </row>
    <row r="1457">
      <c r="A1457" s="75"/>
      <c r="B1457" s="76"/>
      <c r="C1457" s="76"/>
      <c r="D1457" s="76"/>
      <c r="E1457" s="77"/>
    </row>
    <row r="1458">
      <c r="A1458" s="75"/>
      <c r="B1458" s="76"/>
      <c r="C1458" s="76"/>
      <c r="D1458" s="76"/>
      <c r="E1458" s="77"/>
    </row>
    <row r="1459">
      <c r="A1459" s="75"/>
      <c r="B1459" s="76"/>
      <c r="C1459" s="76"/>
      <c r="D1459" s="76"/>
      <c r="E1459" s="77"/>
    </row>
    <row r="1460">
      <c r="A1460" s="75"/>
      <c r="B1460" s="76"/>
      <c r="C1460" s="76"/>
      <c r="D1460" s="76"/>
      <c r="E1460" s="77"/>
    </row>
    <row r="1461">
      <c r="A1461" s="75"/>
      <c r="B1461" s="76"/>
      <c r="C1461" s="76"/>
      <c r="D1461" s="76"/>
      <c r="E1461" s="77"/>
    </row>
    <row r="1462">
      <c r="A1462" s="75"/>
      <c r="B1462" s="76"/>
      <c r="C1462" s="76"/>
      <c r="D1462" s="76"/>
      <c r="E1462" s="77"/>
    </row>
    <row r="1463">
      <c r="A1463" s="75"/>
      <c r="B1463" s="76"/>
      <c r="C1463" s="76"/>
      <c r="D1463" s="76"/>
      <c r="E1463" s="77"/>
    </row>
    <row r="1464">
      <c r="A1464" s="75"/>
      <c r="B1464" s="76"/>
      <c r="C1464" s="76"/>
      <c r="D1464" s="76"/>
      <c r="E1464" s="77"/>
    </row>
    <row r="1465">
      <c r="A1465" s="75"/>
      <c r="B1465" s="76"/>
      <c r="C1465" s="76"/>
      <c r="D1465" s="76"/>
      <c r="E1465" s="77"/>
    </row>
    <row r="1466">
      <c r="A1466" s="75"/>
      <c r="B1466" s="76"/>
      <c r="C1466" s="76"/>
      <c r="D1466" s="76"/>
      <c r="E1466" s="77"/>
    </row>
    <row r="1467">
      <c r="A1467" s="75"/>
      <c r="B1467" s="76"/>
      <c r="C1467" s="76"/>
      <c r="D1467" s="76"/>
      <c r="E1467" s="77"/>
    </row>
    <row r="1468">
      <c r="A1468" s="75"/>
      <c r="B1468" s="76"/>
      <c r="C1468" s="76"/>
      <c r="D1468" s="76"/>
      <c r="E1468" s="77"/>
    </row>
    <row r="1469">
      <c r="A1469" s="75"/>
      <c r="B1469" s="76"/>
      <c r="C1469" s="76"/>
      <c r="D1469" s="76"/>
      <c r="E1469" s="77"/>
    </row>
    <row r="1470">
      <c r="A1470" s="75"/>
      <c r="B1470" s="76"/>
      <c r="C1470" s="76"/>
      <c r="D1470" s="76"/>
      <c r="E1470" s="77"/>
    </row>
    <row r="1471">
      <c r="A1471" s="75"/>
      <c r="B1471" s="76"/>
      <c r="C1471" s="76"/>
      <c r="D1471" s="76"/>
      <c r="E1471" s="77"/>
    </row>
    <row r="1472">
      <c r="A1472" s="75"/>
      <c r="B1472" s="76"/>
      <c r="C1472" s="76"/>
      <c r="D1472" s="76"/>
      <c r="E1472" s="77"/>
    </row>
    <row r="1473">
      <c r="A1473" s="75"/>
      <c r="B1473" s="76"/>
      <c r="C1473" s="76"/>
      <c r="D1473" s="76"/>
      <c r="E1473" s="77"/>
    </row>
    <row r="1474">
      <c r="A1474" s="75"/>
      <c r="B1474" s="76"/>
      <c r="C1474" s="76"/>
      <c r="D1474" s="76"/>
      <c r="E1474" s="77"/>
    </row>
    <row r="1475">
      <c r="A1475" s="75"/>
      <c r="B1475" s="76"/>
      <c r="C1475" s="76"/>
      <c r="D1475" s="76"/>
      <c r="E1475" s="77"/>
    </row>
    <row r="1476">
      <c r="A1476" s="75"/>
      <c r="B1476" s="76"/>
      <c r="C1476" s="76"/>
      <c r="D1476" s="76"/>
      <c r="E1476" s="77"/>
    </row>
    <row r="1477">
      <c r="A1477" s="75"/>
      <c r="B1477" s="76"/>
      <c r="C1477" s="76"/>
      <c r="D1477" s="76"/>
      <c r="E1477" s="77"/>
    </row>
    <row r="1478">
      <c r="A1478" s="75"/>
      <c r="B1478" s="76"/>
      <c r="C1478" s="76"/>
      <c r="D1478" s="76"/>
      <c r="E1478" s="77"/>
    </row>
    <row r="1479">
      <c r="A1479" s="75"/>
      <c r="B1479" s="76"/>
      <c r="C1479" s="76"/>
      <c r="D1479" s="76"/>
      <c r="E1479" s="77"/>
    </row>
    <row r="1480">
      <c r="A1480" s="75"/>
      <c r="B1480" s="76"/>
      <c r="C1480" s="76"/>
      <c r="D1480" s="76"/>
      <c r="E1480" s="77"/>
    </row>
    <row r="1481">
      <c r="A1481" s="75"/>
      <c r="B1481" s="76"/>
      <c r="C1481" s="76"/>
      <c r="D1481" s="76"/>
      <c r="E1481" s="77"/>
    </row>
    <row r="1482">
      <c r="A1482" s="75"/>
      <c r="B1482" s="76"/>
      <c r="C1482" s="76"/>
      <c r="D1482" s="76"/>
      <c r="E1482" s="77"/>
    </row>
    <row r="1483">
      <c r="A1483" s="75"/>
      <c r="B1483" s="76"/>
      <c r="C1483" s="76"/>
      <c r="D1483" s="76"/>
      <c r="E1483" s="77"/>
    </row>
    <row r="1484">
      <c r="A1484" s="75"/>
      <c r="B1484" s="76"/>
      <c r="C1484" s="76"/>
      <c r="D1484" s="76"/>
      <c r="E1484" s="77"/>
    </row>
    <row r="1485">
      <c r="A1485" s="75"/>
      <c r="B1485" s="76"/>
      <c r="C1485" s="76"/>
      <c r="D1485" s="76"/>
      <c r="E1485" s="77"/>
    </row>
    <row r="1486">
      <c r="A1486" s="75"/>
      <c r="B1486" s="76"/>
      <c r="C1486" s="76"/>
      <c r="D1486" s="76"/>
      <c r="E1486" s="77"/>
    </row>
    <row r="1487">
      <c r="A1487" s="75"/>
      <c r="B1487" s="76"/>
      <c r="C1487" s="76"/>
      <c r="D1487" s="76"/>
      <c r="E1487" s="77"/>
    </row>
    <row r="1488">
      <c r="A1488" s="75"/>
      <c r="B1488" s="76"/>
      <c r="C1488" s="76"/>
      <c r="D1488" s="76"/>
      <c r="E1488" s="77"/>
    </row>
    <row r="1489">
      <c r="A1489" s="75"/>
      <c r="B1489" s="76"/>
      <c r="C1489" s="76"/>
      <c r="D1489" s="76"/>
      <c r="E1489" s="77"/>
    </row>
    <row r="1490">
      <c r="A1490" s="75"/>
      <c r="B1490" s="76"/>
      <c r="C1490" s="76"/>
      <c r="D1490" s="76"/>
      <c r="E1490" s="77"/>
    </row>
    <row r="1491">
      <c r="A1491" s="75"/>
      <c r="B1491" s="76"/>
      <c r="C1491" s="76"/>
      <c r="D1491" s="76"/>
      <c r="E1491" s="77"/>
    </row>
    <row r="1492">
      <c r="A1492" s="75"/>
      <c r="B1492" s="76"/>
      <c r="C1492" s="76"/>
      <c r="D1492" s="76"/>
      <c r="E1492" s="77"/>
    </row>
    <row r="1493">
      <c r="A1493" s="75"/>
      <c r="B1493" s="76"/>
      <c r="C1493" s="76"/>
      <c r="D1493" s="76"/>
      <c r="E1493" s="77"/>
    </row>
    <row r="1494">
      <c r="A1494" s="75"/>
      <c r="B1494" s="76"/>
      <c r="C1494" s="76"/>
      <c r="D1494" s="76"/>
      <c r="E1494" s="77"/>
    </row>
    <row r="1495">
      <c r="A1495" s="75"/>
      <c r="B1495" s="76"/>
      <c r="C1495" s="76"/>
      <c r="D1495" s="76"/>
      <c r="E1495" s="77"/>
    </row>
    <row r="1496">
      <c r="A1496" s="75"/>
      <c r="B1496" s="76"/>
      <c r="C1496" s="76"/>
      <c r="D1496" s="76"/>
      <c r="E1496" s="77"/>
    </row>
    <row r="1497">
      <c r="A1497" s="75"/>
      <c r="B1497" s="76"/>
      <c r="C1497" s="76"/>
      <c r="D1497" s="76"/>
      <c r="E1497" s="77"/>
    </row>
    <row r="1498">
      <c r="A1498" s="75"/>
      <c r="B1498" s="76"/>
      <c r="C1498" s="76"/>
      <c r="D1498" s="76"/>
      <c r="E1498" s="77"/>
    </row>
    <row r="1499">
      <c r="A1499" s="75"/>
      <c r="B1499" s="76"/>
      <c r="C1499" s="76"/>
      <c r="D1499" s="76"/>
      <c r="E1499" s="77"/>
    </row>
    <row r="1500">
      <c r="A1500" s="75"/>
      <c r="B1500" s="76"/>
      <c r="C1500" s="76"/>
      <c r="D1500" s="76"/>
      <c r="E1500" s="77"/>
    </row>
    <row r="1501">
      <c r="A1501" s="75"/>
      <c r="B1501" s="76"/>
      <c r="C1501" s="76"/>
      <c r="D1501" s="76"/>
      <c r="E1501" s="77"/>
    </row>
    <row r="1502">
      <c r="A1502" s="75"/>
      <c r="B1502" s="76"/>
      <c r="C1502" s="76"/>
      <c r="D1502" s="76"/>
      <c r="E1502" s="77"/>
    </row>
    <row r="1503">
      <c r="A1503" s="75"/>
      <c r="B1503" s="76"/>
      <c r="C1503" s="76"/>
      <c r="D1503" s="76"/>
      <c r="E1503" s="77"/>
    </row>
    <row r="1504">
      <c r="A1504" s="75"/>
      <c r="B1504" s="76"/>
      <c r="C1504" s="76"/>
      <c r="D1504" s="76"/>
      <c r="E1504" s="77"/>
    </row>
    <row r="1505">
      <c r="A1505" s="75"/>
      <c r="B1505" s="76"/>
      <c r="C1505" s="76"/>
      <c r="D1505" s="76"/>
      <c r="E1505" s="77"/>
    </row>
    <row r="1506">
      <c r="A1506" s="75"/>
      <c r="B1506" s="76"/>
      <c r="C1506" s="76"/>
      <c r="D1506" s="76"/>
      <c r="E1506" s="77"/>
    </row>
    <row r="1507">
      <c r="A1507" s="75"/>
      <c r="B1507" s="76"/>
      <c r="C1507" s="76"/>
      <c r="D1507" s="76"/>
      <c r="E1507" s="77"/>
    </row>
    <row r="1508">
      <c r="A1508" s="75"/>
      <c r="B1508" s="76"/>
      <c r="C1508" s="76"/>
      <c r="D1508" s="76"/>
      <c r="E1508" s="77"/>
    </row>
    <row r="1509">
      <c r="A1509" s="75"/>
      <c r="B1509" s="76"/>
      <c r="C1509" s="76"/>
      <c r="D1509" s="76"/>
      <c r="E1509" s="77"/>
    </row>
    <row r="1510">
      <c r="A1510" s="75"/>
      <c r="B1510" s="76"/>
      <c r="C1510" s="76"/>
      <c r="D1510" s="76"/>
      <c r="E1510" s="77"/>
    </row>
    <row r="1511">
      <c r="A1511" s="75"/>
      <c r="B1511" s="76"/>
      <c r="C1511" s="76"/>
      <c r="D1511" s="76"/>
      <c r="E1511" s="77"/>
    </row>
    <row r="1512">
      <c r="A1512" s="75"/>
      <c r="B1512" s="76"/>
      <c r="C1512" s="76"/>
      <c r="D1512" s="76"/>
      <c r="E1512" s="77"/>
    </row>
    <row r="1513">
      <c r="A1513" s="75"/>
      <c r="B1513" s="76"/>
      <c r="C1513" s="76"/>
      <c r="D1513" s="76"/>
      <c r="E1513" s="77"/>
    </row>
    <row r="1514">
      <c r="A1514" s="75"/>
      <c r="B1514" s="76"/>
      <c r="C1514" s="76"/>
      <c r="D1514" s="76"/>
      <c r="E1514" s="77"/>
    </row>
    <row r="1515">
      <c r="A1515" s="75"/>
      <c r="B1515" s="76"/>
      <c r="C1515" s="76"/>
      <c r="D1515" s="76"/>
      <c r="E1515" s="77"/>
    </row>
    <row r="1516">
      <c r="A1516" s="75"/>
      <c r="B1516" s="76"/>
      <c r="C1516" s="76"/>
      <c r="D1516" s="76"/>
      <c r="E1516" s="77"/>
    </row>
    <row r="1517">
      <c r="A1517" s="75"/>
      <c r="B1517" s="76"/>
      <c r="C1517" s="76"/>
      <c r="D1517" s="76"/>
      <c r="E1517" s="77"/>
    </row>
    <row r="1518">
      <c r="A1518" s="75"/>
      <c r="B1518" s="76"/>
      <c r="C1518" s="76"/>
      <c r="D1518" s="76"/>
      <c r="E1518" s="77"/>
    </row>
    <row r="1519">
      <c r="A1519" s="75"/>
      <c r="B1519" s="76"/>
      <c r="C1519" s="76"/>
      <c r="D1519" s="76"/>
      <c r="E1519" s="77"/>
    </row>
    <row r="1520">
      <c r="A1520" s="75"/>
      <c r="B1520" s="76"/>
      <c r="C1520" s="76"/>
      <c r="D1520" s="76"/>
      <c r="E1520" s="77"/>
    </row>
    <row r="1521">
      <c r="A1521" s="75"/>
      <c r="B1521" s="76"/>
      <c r="C1521" s="76"/>
      <c r="D1521" s="76"/>
      <c r="E1521" s="77"/>
    </row>
    <row r="1522">
      <c r="A1522" s="75"/>
      <c r="B1522" s="76"/>
      <c r="C1522" s="76"/>
      <c r="D1522" s="76"/>
      <c r="E1522" s="77"/>
    </row>
    <row r="1523">
      <c r="A1523" s="75"/>
      <c r="B1523" s="76"/>
      <c r="C1523" s="76"/>
      <c r="D1523" s="76"/>
      <c r="E1523" s="77"/>
    </row>
    <row r="1524">
      <c r="A1524" s="75"/>
      <c r="B1524" s="76"/>
      <c r="C1524" s="76"/>
      <c r="D1524" s="76"/>
      <c r="E1524" s="77"/>
    </row>
    <row r="1525">
      <c r="A1525" s="75"/>
      <c r="B1525" s="76"/>
      <c r="C1525" s="76"/>
      <c r="D1525" s="76"/>
      <c r="E1525" s="77"/>
    </row>
    <row r="1526">
      <c r="A1526" s="75"/>
      <c r="B1526" s="76"/>
      <c r="C1526" s="76"/>
      <c r="D1526" s="76"/>
      <c r="E1526" s="77"/>
    </row>
    <row r="1527">
      <c r="A1527" s="75"/>
      <c r="B1527" s="76"/>
      <c r="C1527" s="76"/>
      <c r="D1527" s="76"/>
      <c r="E1527" s="77"/>
    </row>
    <row r="1528">
      <c r="A1528" s="75"/>
      <c r="B1528" s="76"/>
      <c r="C1528" s="76"/>
      <c r="D1528" s="76"/>
      <c r="E1528" s="77"/>
    </row>
    <row r="1529">
      <c r="A1529" s="75"/>
      <c r="B1529" s="76"/>
      <c r="C1529" s="76"/>
      <c r="D1529" s="76"/>
      <c r="E1529" s="77"/>
    </row>
    <row r="1530">
      <c r="A1530" s="75"/>
      <c r="B1530" s="76"/>
      <c r="C1530" s="76"/>
      <c r="D1530" s="76"/>
      <c r="E1530" s="77"/>
    </row>
    <row r="1531">
      <c r="A1531" s="75"/>
      <c r="B1531" s="76"/>
      <c r="C1531" s="76"/>
      <c r="D1531" s="76"/>
      <c r="E1531" s="77"/>
    </row>
    <row r="1532">
      <c r="A1532" s="75"/>
      <c r="B1532" s="76"/>
      <c r="C1532" s="76"/>
      <c r="D1532" s="76"/>
      <c r="E1532" s="77"/>
    </row>
    <row r="1533">
      <c r="A1533" s="75"/>
      <c r="B1533" s="76"/>
      <c r="C1533" s="76"/>
      <c r="D1533" s="76"/>
      <c r="E1533" s="77"/>
    </row>
    <row r="1534">
      <c r="A1534" s="75"/>
      <c r="B1534" s="76"/>
      <c r="C1534" s="76"/>
      <c r="D1534" s="76"/>
      <c r="E1534" s="77"/>
    </row>
    <row r="1535">
      <c r="A1535" s="75"/>
      <c r="B1535" s="76"/>
      <c r="C1535" s="76"/>
      <c r="D1535" s="76"/>
      <c r="E1535" s="77"/>
    </row>
    <row r="1536">
      <c r="A1536" s="75"/>
      <c r="B1536" s="76"/>
      <c r="C1536" s="76"/>
      <c r="D1536" s="76"/>
      <c r="E1536" s="77"/>
    </row>
    <row r="1537">
      <c r="A1537" s="75"/>
      <c r="B1537" s="76"/>
      <c r="C1537" s="76"/>
      <c r="D1537" s="76"/>
      <c r="E1537" s="77"/>
    </row>
    <row r="1538">
      <c r="A1538" s="75"/>
      <c r="B1538" s="76"/>
      <c r="C1538" s="76"/>
      <c r="D1538" s="76"/>
      <c r="E1538" s="77"/>
    </row>
    <row r="1539">
      <c r="A1539" s="75"/>
      <c r="B1539" s="76"/>
      <c r="C1539" s="76"/>
      <c r="D1539" s="76"/>
      <c r="E1539" s="77"/>
    </row>
    <row r="1540">
      <c r="A1540" s="75"/>
      <c r="B1540" s="76"/>
      <c r="C1540" s="76"/>
      <c r="D1540" s="76"/>
      <c r="E1540" s="77"/>
    </row>
    <row r="1541">
      <c r="A1541" s="75"/>
      <c r="B1541" s="76"/>
      <c r="C1541" s="76"/>
      <c r="D1541" s="76"/>
      <c r="E1541" s="77"/>
    </row>
    <row r="1542">
      <c r="A1542" s="75"/>
      <c r="B1542" s="76"/>
      <c r="C1542" s="76"/>
      <c r="D1542" s="76"/>
      <c r="E1542" s="77"/>
    </row>
    <row r="1543">
      <c r="A1543" s="75"/>
      <c r="B1543" s="76"/>
      <c r="C1543" s="76"/>
      <c r="D1543" s="76"/>
      <c r="E1543" s="77"/>
    </row>
    <row r="1544">
      <c r="A1544" s="75"/>
      <c r="B1544" s="76"/>
      <c r="C1544" s="76"/>
      <c r="D1544" s="76"/>
      <c r="E1544" s="77"/>
    </row>
    <row r="1545">
      <c r="A1545" s="75"/>
      <c r="B1545" s="76"/>
      <c r="C1545" s="76"/>
      <c r="D1545" s="76"/>
      <c r="E1545" s="77"/>
    </row>
    <row r="1546">
      <c r="A1546" s="75"/>
      <c r="B1546" s="76"/>
      <c r="C1546" s="76"/>
      <c r="D1546" s="76"/>
      <c r="E1546" s="77"/>
    </row>
    <row r="1547">
      <c r="A1547" s="75"/>
      <c r="B1547" s="76"/>
      <c r="C1547" s="76"/>
      <c r="D1547" s="76"/>
      <c r="E1547" s="77"/>
    </row>
    <row r="1548">
      <c r="A1548" s="75"/>
      <c r="B1548" s="76"/>
      <c r="C1548" s="76"/>
      <c r="D1548" s="76"/>
      <c r="E1548" s="77"/>
    </row>
    <row r="1549">
      <c r="A1549" s="75"/>
      <c r="B1549" s="76"/>
      <c r="C1549" s="76"/>
      <c r="D1549" s="76"/>
      <c r="E1549" s="77"/>
    </row>
    <row r="1550">
      <c r="A1550" s="75"/>
      <c r="B1550" s="76"/>
      <c r="C1550" s="76"/>
      <c r="D1550" s="76"/>
      <c r="E1550" s="77"/>
    </row>
    <row r="1551">
      <c r="A1551" s="75"/>
      <c r="B1551" s="76"/>
      <c r="C1551" s="76"/>
      <c r="D1551" s="76"/>
      <c r="E1551" s="77"/>
    </row>
    <row r="1552">
      <c r="A1552" s="75"/>
      <c r="B1552" s="76"/>
      <c r="C1552" s="76"/>
      <c r="D1552" s="76"/>
      <c r="E1552" s="77"/>
    </row>
    <row r="1553">
      <c r="A1553" s="75"/>
      <c r="B1553" s="76"/>
      <c r="C1553" s="76"/>
      <c r="D1553" s="76"/>
      <c r="E1553" s="77"/>
    </row>
    <row r="1554">
      <c r="A1554" s="75"/>
      <c r="B1554" s="76"/>
      <c r="C1554" s="76"/>
      <c r="D1554" s="76"/>
      <c r="E1554" s="77"/>
    </row>
    <row r="1555">
      <c r="A1555" s="75"/>
      <c r="B1555" s="76"/>
      <c r="C1555" s="76"/>
      <c r="D1555" s="76"/>
      <c r="E1555" s="77"/>
    </row>
    <row r="1556">
      <c r="A1556" s="75"/>
      <c r="B1556" s="76"/>
      <c r="C1556" s="76"/>
      <c r="D1556" s="76"/>
      <c r="E1556" s="77"/>
    </row>
    <row r="1557">
      <c r="A1557" s="75"/>
      <c r="B1557" s="76"/>
      <c r="C1557" s="76"/>
      <c r="D1557" s="76"/>
      <c r="E1557" s="77"/>
    </row>
    <row r="1558">
      <c r="A1558" s="75"/>
      <c r="B1558" s="76"/>
      <c r="C1558" s="76"/>
      <c r="D1558" s="76"/>
      <c r="E1558" s="77"/>
    </row>
    <row r="1559">
      <c r="A1559" s="75"/>
      <c r="B1559" s="76"/>
      <c r="C1559" s="76"/>
      <c r="D1559" s="76"/>
      <c r="E1559" s="77"/>
    </row>
    <row r="1560">
      <c r="A1560" s="75"/>
      <c r="B1560" s="76"/>
      <c r="C1560" s="76"/>
      <c r="D1560" s="76"/>
      <c r="E1560" s="77"/>
    </row>
    <row r="1561">
      <c r="A1561" s="75"/>
      <c r="B1561" s="76"/>
      <c r="C1561" s="76"/>
      <c r="D1561" s="76"/>
      <c r="E1561" s="77"/>
    </row>
    <row r="1562">
      <c r="A1562" s="75"/>
      <c r="B1562" s="76"/>
      <c r="C1562" s="76"/>
      <c r="D1562" s="76"/>
      <c r="E1562" s="77"/>
    </row>
    <row r="1563">
      <c r="A1563" s="75"/>
      <c r="B1563" s="76"/>
      <c r="C1563" s="76"/>
      <c r="D1563" s="76"/>
      <c r="E1563" s="77"/>
    </row>
    <row r="1564">
      <c r="A1564" s="75"/>
      <c r="B1564" s="76"/>
      <c r="C1564" s="76"/>
      <c r="D1564" s="76"/>
      <c r="E1564" s="77"/>
    </row>
    <row r="1565">
      <c r="A1565" s="75"/>
      <c r="B1565" s="76"/>
      <c r="C1565" s="76"/>
      <c r="D1565" s="76"/>
      <c r="E1565" s="77"/>
    </row>
    <row r="1566">
      <c r="A1566" s="75"/>
      <c r="B1566" s="76"/>
      <c r="C1566" s="76"/>
      <c r="D1566" s="76"/>
      <c r="E1566" s="77"/>
    </row>
    <row r="1567">
      <c r="A1567" s="75"/>
      <c r="B1567" s="76"/>
      <c r="C1567" s="76"/>
      <c r="D1567" s="76"/>
      <c r="E1567" s="77"/>
    </row>
    <row r="1568">
      <c r="A1568" s="75"/>
      <c r="B1568" s="76"/>
      <c r="C1568" s="76"/>
      <c r="D1568" s="76"/>
      <c r="E1568" s="77"/>
    </row>
    <row r="1569">
      <c r="A1569" s="75"/>
      <c r="B1569" s="76"/>
      <c r="C1569" s="76"/>
      <c r="D1569" s="76"/>
      <c r="E1569" s="77"/>
    </row>
    <row r="1570">
      <c r="A1570" s="75"/>
      <c r="B1570" s="76"/>
      <c r="C1570" s="76"/>
      <c r="D1570" s="76"/>
      <c r="E1570" s="77"/>
    </row>
    <row r="1571">
      <c r="A1571" s="75"/>
      <c r="B1571" s="76"/>
      <c r="C1571" s="76"/>
      <c r="D1571" s="76"/>
      <c r="E1571" s="77"/>
    </row>
    <row r="1572">
      <c r="A1572" s="75"/>
      <c r="B1572" s="76"/>
      <c r="C1572" s="76"/>
      <c r="D1572" s="76"/>
      <c r="E1572" s="77"/>
    </row>
    <row r="1573">
      <c r="A1573" s="75"/>
      <c r="B1573" s="76"/>
      <c r="C1573" s="76"/>
      <c r="D1573" s="76"/>
      <c r="E1573" s="77"/>
    </row>
    <row r="1574">
      <c r="A1574" s="75"/>
      <c r="B1574" s="76"/>
      <c r="C1574" s="76"/>
      <c r="D1574" s="76"/>
      <c r="E1574" s="77"/>
    </row>
    <row r="1575">
      <c r="A1575" s="75"/>
      <c r="B1575" s="76"/>
      <c r="C1575" s="76"/>
      <c r="D1575" s="76"/>
      <c r="E1575" s="77"/>
    </row>
    <row r="1576">
      <c r="A1576" s="75"/>
      <c r="B1576" s="76"/>
      <c r="C1576" s="76"/>
      <c r="D1576" s="76"/>
      <c r="E1576" s="77"/>
    </row>
    <row r="1577">
      <c r="A1577" s="75"/>
      <c r="B1577" s="76"/>
      <c r="C1577" s="76"/>
      <c r="D1577" s="76"/>
      <c r="E1577" s="77"/>
    </row>
    <row r="1578">
      <c r="A1578" s="75"/>
      <c r="B1578" s="76"/>
      <c r="C1578" s="76"/>
      <c r="D1578" s="76"/>
      <c r="E1578" s="77"/>
    </row>
    <row r="1579">
      <c r="A1579" s="75"/>
      <c r="B1579" s="76"/>
      <c r="C1579" s="76"/>
      <c r="D1579" s="76"/>
      <c r="E1579" s="77"/>
    </row>
    <row r="1580">
      <c r="A1580" s="75"/>
      <c r="B1580" s="76"/>
      <c r="C1580" s="76"/>
      <c r="D1580" s="76"/>
      <c r="E1580" s="77"/>
    </row>
    <row r="1581">
      <c r="A1581" s="75"/>
      <c r="B1581" s="76"/>
      <c r="C1581" s="76"/>
      <c r="D1581" s="76"/>
      <c r="E1581" s="77"/>
    </row>
    <row r="1582">
      <c r="A1582" s="75"/>
      <c r="B1582" s="76"/>
      <c r="C1582" s="76"/>
      <c r="D1582" s="76"/>
      <c r="E1582" s="77"/>
    </row>
    <row r="1583">
      <c r="A1583" s="75"/>
      <c r="B1583" s="76"/>
      <c r="C1583" s="76"/>
      <c r="D1583" s="76"/>
      <c r="E1583" s="77"/>
    </row>
    <row r="1584">
      <c r="A1584" s="75"/>
      <c r="B1584" s="76"/>
      <c r="C1584" s="76"/>
      <c r="D1584" s="76"/>
      <c r="E1584" s="77"/>
    </row>
    <row r="1585">
      <c r="A1585" s="75"/>
      <c r="B1585" s="76"/>
      <c r="C1585" s="76"/>
      <c r="D1585" s="76"/>
      <c r="E1585" s="77"/>
    </row>
    <row r="1586">
      <c r="A1586" s="75"/>
      <c r="B1586" s="76"/>
      <c r="C1586" s="76"/>
      <c r="D1586" s="76"/>
      <c r="E1586" s="77"/>
    </row>
    <row r="1587">
      <c r="A1587" s="75"/>
      <c r="B1587" s="76"/>
      <c r="C1587" s="76"/>
      <c r="D1587" s="76"/>
      <c r="E1587" s="77"/>
    </row>
    <row r="1588">
      <c r="A1588" s="75"/>
      <c r="B1588" s="76"/>
      <c r="C1588" s="76"/>
      <c r="D1588" s="76"/>
      <c r="E1588" s="77"/>
    </row>
    <row r="1589">
      <c r="A1589" s="75"/>
      <c r="B1589" s="76"/>
      <c r="C1589" s="76"/>
      <c r="D1589" s="76"/>
      <c r="E1589" s="77"/>
    </row>
    <row r="1590">
      <c r="A1590" s="75"/>
      <c r="B1590" s="76"/>
      <c r="C1590" s="76"/>
      <c r="D1590" s="76"/>
      <c r="E1590" s="77"/>
    </row>
    <row r="1591">
      <c r="A1591" s="75"/>
      <c r="B1591" s="76"/>
      <c r="C1591" s="76"/>
      <c r="D1591" s="76"/>
      <c r="E1591" s="77"/>
    </row>
    <row r="1592">
      <c r="A1592" s="75"/>
      <c r="B1592" s="76"/>
      <c r="C1592" s="76"/>
      <c r="D1592" s="76"/>
      <c r="E1592" s="77"/>
    </row>
    <row r="1593">
      <c r="A1593" s="75"/>
      <c r="B1593" s="76"/>
      <c r="C1593" s="76"/>
      <c r="D1593" s="76"/>
      <c r="E1593" s="77"/>
    </row>
    <row r="1594">
      <c r="A1594" s="75"/>
      <c r="B1594" s="76"/>
      <c r="C1594" s="76"/>
      <c r="D1594" s="76"/>
      <c r="E1594" s="77"/>
    </row>
    <row r="1595">
      <c r="A1595" s="75"/>
      <c r="B1595" s="76"/>
      <c r="C1595" s="76"/>
      <c r="D1595" s="76"/>
      <c r="E1595" s="77"/>
    </row>
    <row r="1596">
      <c r="A1596" s="75"/>
      <c r="B1596" s="76"/>
      <c r="C1596" s="76"/>
      <c r="D1596" s="76"/>
      <c r="E1596" s="77"/>
    </row>
    <row r="1597">
      <c r="A1597" s="75"/>
      <c r="B1597" s="76"/>
      <c r="C1597" s="76"/>
      <c r="D1597" s="76"/>
      <c r="E1597" s="77"/>
    </row>
    <row r="1598">
      <c r="A1598" s="75"/>
      <c r="B1598" s="76"/>
      <c r="C1598" s="76"/>
      <c r="D1598" s="76"/>
      <c r="E1598" s="77"/>
    </row>
    <row r="1599">
      <c r="A1599" s="75"/>
      <c r="B1599" s="76"/>
      <c r="C1599" s="76"/>
      <c r="D1599" s="76"/>
      <c r="E1599" s="77"/>
    </row>
    <row r="1600">
      <c r="A1600" s="75"/>
      <c r="B1600" s="76"/>
      <c r="C1600" s="76"/>
      <c r="D1600" s="76"/>
      <c r="E1600" s="77"/>
    </row>
    <row r="1601">
      <c r="A1601" s="75"/>
      <c r="B1601" s="76"/>
      <c r="C1601" s="76"/>
      <c r="D1601" s="76"/>
      <c r="E1601" s="77"/>
    </row>
    <row r="1602">
      <c r="A1602" s="75"/>
      <c r="B1602" s="76"/>
      <c r="C1602" s="76"/>
      <c r="D1602" s="76"/>
      <c r="E1602" s="77"/>
    </row>
    <row r="1603">
      <c r="A1603" s="75"/>
      <c r="B1603" s="76"/>
      <c r="C1603" s="76"/>
      <c r="D1603" s="76"/>
      <c r="E1603" s="77"/>
    </row>
    <row r="1604">
      <c r="A1604" s="75"/>
      <c r="B1604" s="76"/>
      <c r="C1604" s="76"/>
      <c r="D1604" s="76"/>
      <c r="E1604" s="77"/>
    </row>
    <row r="1605">
      <c r="A1605" s="75"/>
      <c r="B1605" s="76"/>
      <c r="C1605" s="76"/>
      <c r="D1605" s="76"/>
      <c r="E1605" s="77"/>
    </row>
    <row r="1606">
      <c r="A1606" s="75"/>
      <c r="B1606" s="76"/>
      <c r="C1606" s="76"/>
      <c r="D1606" s="76"/>
      <c r="E1606" s="77"/>
    </row>
    <row r="1607">
      <c r="A1607" s="75"/>
      <c r="B1607" s="76"/>
      <c r="C1607" s="76"/>
      <c r="D1607" s="76"/>
      <c r="E1607" s="77"/>
    </row>
    <row r="1608">
      <c r="A1608" s="75"/>
      <c r="B1608" s="76"/>
      <c r="C1608" s="76"/>
      <c r="D1608" s="76"/>
      <c r="E1608" s="77"/>
    </row>
    <row r="1609">
      <c r="A1609" s="75"/>
      <c r="B1609" s="76"/>
      <c r="C1609" s="76"/>
      <c r="D1609" s="76"/>
      <c r="E1609" s="77"/>
    </row>
    <row r="1610">
      <c r="A1610" s="75"/>
      <c r="B1610" s="76"/>
      <c r="C1610" s="76"/>
      <c r="D1610" s="76"/>
      <c r="E1610" s="77"/>
    </row>
    <row r="1611">
      <c r="A1611" s="75"/>
      <c r="B1611" s="76"/>
      <c r="C1611" s="76"/>
      <c r="D1611" s="76"/>
      <c r="E1611" s="77"/>
    </row>
    <row r="1612">
      <c r="A1612" s="75"/>
      <c r="B1612" s="76"/>
      <c r="C1612" s="76"/>
      <c r="D1612" s="76"/>
      <c r="E1612" s="77"/>
    </row>
    <row r="1613">
      <c r="A1613" s="75"/>
      <c r="B1613" s="76"/>
      <c r="C1613" s="76"/>
      <c r="D1613" s="76"/>
      <c r="E1613" s="77"/>
    </row>
    <row r="1614">
      <c r="A1614" s="75"/>
      <c r="B1614" s="76"/>
      <c r="C1614" s="76"/>
      <c r="D1614" s="76"/>
      <c r="E1614" s="77"/>
    </row>
    <row r="1615">
      <c r="A1615" s="75"/>
      <c r="B1615" s="76"/>
      <c r="C1615" s="76"/>
      <c r="D1615" s="76"/>
      <c r="E1615" s="77"/>
    </row>
    <row r="1616">
      <c r="A1616" s="75"/>
      <c r="B1616" s="76"/>
      <c r="C1616" s="76"/>
      <c r="D1616" s="76"/>
      <c r="E1616" s="77"/>
    </row>
    <row r="1617">
      <c r="A1617" s="75"/>
      <c r="B1617" s="76"/>
      <c r="C1617" s="76"/>
      <c r="D1617" s="76"/>
      <c r="E1617" s="77"/>
    </row>
    <row r="1618">
      <c r="A1618" s="75"/>
      <c r="B1618" s="76"/>
      <c r="C1618" s="76"/>
      <c r="D1618" s="76"/>
      <c r="E1618" s="77"/>
    </row>
    <row r="1619">
      <c r="A1619" s="75"/>
      <c r="B1619" s="76"/>
      <c r="C1619" s="76"/>
      <c r="D1619" s="76"/>
      <c r="E1619" s="77"/>
    </row>
    <row r="1620">
      <c r="A1620" s="75"/>
      <c r="B1620" s="76"/>
      <c r="C1620" s="76"/>
      <c r="D1620" s="76"/>
      <c r="E1620" s="77"/>
    </row>
    <row r="1621">
      <c r="A1621" s="75"/>
      <c r="B1621" s="76"/>
      <c r="C1621" s="76"/>
      <c r="D1621" s="76"/>
      <c r="E1621" s="77"/>
    </row>
    <row r="1622">
      <c r="A1622" s="75"/>
      <c r="B1622" s="76"/>
      <c r="C1622" s="76"/>
      <c r="D1622" s="76"/>
      <c r="E1622" s="77"/>
    </row>
    <row r="1623">
      <c r="A1623" s="75"/>
      <c r="B1623" s="76"/>
      <c r="C1623" s="76"/>
      <c r="D1623" s="76"/>
      <c r="E1623" s="77"/>
    </row>
    <row r="1624">
      <c r="A1624" s="75"/>
      <c r="B1624" s="76"/>
      <c r="C1624" s="76"/>
      <c r="D1624" s="76"/>
      <c r="E1624" s="77"/>
    </row>
    <row r="1625">
      <c r="A1625" s="75"/>
      <c r="B1625" s="76"/>
      <c r="C1625" s="76"/>
      <c r="D1625" s="76"/>
      <c r="E1625" s="77"/>
    </row>
    <row r="1626">
      <c r="A1626" s="75"/>
      <c r="B1626" s="76"/>
      <c r="C1626" s="76"/>
      <c r="D1626" s="76"/>
      <c r="E1626" s="77"/>
    </row>
    <row r="1627">
      <c r="A1627" s="75"/>
      <c r="B1627" s="76"/>
      <c r="C1627" s="76"/>
      <c r="D1627" s="76"/>
      <c r="E1627" s="77"/>
    </row>
    <row r="1628">
      <c r="A1628" s="75"/>
      <c r="B1628" s="76"/>
      <c r="C1628" s="76"/>
      <c r="D1628" s="76"/>
      <c r="E1628" s="77"/>
    </row>
    <row r="1629">
      <c r="A1629" s="75"/>
      <c r="B1629" s="76"/>
      <c r="C1629" s="76"/>
      <c r="D1629" s="76"/>
      <c r="E1629" s="77"/>
    </row>
    <row r="1630">
      <c r="A1630" s="75"/>
      <c r="B1630" s="76"/>
      <c r="C1630" s="76"/>
      <c r="D1630" s="76"/>
      <c r="E1630" s="77"/>
    </row>
    <row r="1631">
      <c r="A1631" s="75"/>
      <c r="B1631" s="76"/>
      <c r="C1631" s="76"/>
      <c r="D1631" s="76"/>
      <c r="E1631" s="77"/>
    </row>
    <row r="1632">
      <c r="A1632" s="75"/>
      <c r="B1632" s="76"/>
      <c r="C1632" s="76"/>
      <c r="D1632" s="76"/>
      <c r="E1632" s="77"/>
    </row>
    <row r="1633">
      <c r="A1633" s="75"/>
      <c r="B1633" s="76"/>
      <c r="C1633" s="76"/>
      <c r="D1633" s="76"/>
      <c r="E1633" s="77"/>
    </row>
    <row r="1634">
      <c r="A1634" s="75"/>
      <c r="B1634" s="76"/>
      <c r="C1634" s="76"/>
      <c r="D1634" s="76"/>
      <c r="E1634" s="77"/>
    </row>
    <row r="1635">
      <c r="A1635" s="75"/>
      <c r="B1635" s="76"/>
      <c r="C1635" s="76"/>
      <c r="D1635" s="76"/>
      <c r="E1635" s="77"/>
    </row>
    <row r="1636">
      <c r="A1636" s="75"/>
      <c r="B1636" s="76"/>
      <c r="C1636" s="76"/>
      <c r="D1636" s="76"/>
      <c r="E1636" s="77"/>
    </row>
    <row r="1637">
      <c r="A1637" s="75"/>
      <c r="B1637" s="76"/>
      <c r="C1637" s="76"/>
      <c r="D1637" s="76"/>
      <c r="E1637" s="77"/>
    </row>
    <row r="1638">
      <c r="A1638" s="75"/>
      <c r="B1638" s="76"/>
      <c r="C1638" s="76"/>
      <c r="D1638" s="76"/>
      <c r="E1638" s="77"/>
    </row>
    <row r="1639">
      <c r="A1639" s="75"/>
      <c r="B1639" s="76"/>
      <c r="C1639" s="76"/>
      <c r="D1639" s="76"/>
      <c r="E1639" s="77"/>
    </row>
    <row r="1640">
      <c r="A1640" s="75"/>
      <c r="B1640" s="76"/>
      <c r="C1640" s="76"/>
      <c r="D1640" s="76"/>
      <c r="E1640" s="77"/>
    </row>
    <row r="1641">
      <c r="A1641" s="75"/>
      <c r="B1641" s="76"/>
      <c r="C1641" s="76"/>
      <c r="D1641" s="76"/>
      <c r="E1641" s="77"/>
    </row>
    <row r="1642">
      <c r="A1642" s="75"/>
      <c r="B1642" s="76"/>
      <c r="C1642" s="76"/>
      <c r="D1642" s="76"/>
      <c r="E1642" s="77"/>
    </row>
    <row r="1643">
      <c r="A1643" s="75"/>
      <c r="B1643" s="76"/>
      <c r="C1643" s="76"/>
      <c r="D1643" s="76"/>
      <c r="E1643" s="77"/>
    </row>
    <row r="1644">
      <c r="A1644" s="75"/>
      <c r="B1644" s="76"/>
      <c r="C1644" s="76"/>
      <c r="D1644" s="76"/>
      <c r="E1644" s="77"/>
    </row>
    <row r="1645">
      <c r="A1645" s="75"/>
      <c r="B1645" s="76"/>
      <c r="C1645" s="76"/>
      <c r="D1645" s="76"/>
      <c r="E1645" s="77"/>
    </row>
    <row r="1646">
      <c r="A1646" s="75"/>
      <c r="B1646" s="76"/>
      <c r="C1646" s="76"/>
      <c r="D1646" s="76"/>
      <c r="E1646" s="77"/>
    </row>
    <row r="1647">
      <c r="A1647" s="75"/>
      <c r="B1647" s="76"/>
      <c r="C1647" s="76"/>
      <c r="D1647" s="76"/>
      <c r="E1647" s="77"/>
    </row>
    <row r="1648">
      <c r="A1648" s="75"/>
      <c r="B1648" s="76"/>
      <c r="C1648" s="76"/>
      <c r="D1648" s="76"/>
      <c r="E1648" s="77"/>
    </row>
    <row r="1649">
      <c r="A1649" s="75"/>
      <c r="B1649" s="76"/>
      <c r="C1649" s="76"/>
      <c r="D1649" s="76"/>
      <c r="E1649" s="77"/>
    </row>
    <row r="1650">
      <c r="A1650" s="75"/>
      <c r="B1650" s="76"/>
      <c r="C1650" s="76"/>
      <c r="D1650" s="76"/>
      <c r="E1650" s="77"/>
    </row>
    <row r="1651">
      <c r="A1651" s="75"/>
      <c r="B1651" s="76"/>
      <c r="C1651" s="76"/>
      <c r="D1651" s="76"/>
      <c r="E1651" s="77"/>
    </row>
    <row r="1652">
      <c r="A1652" s="75"/>
      <c r="B1652" s="76"/>
      <c r="C1652" s="76"/>
      <c r="D1652" s="76"/>
      <c r="E1652" s="77"/>
    </row>
    <row r="1653">
      <c r="A1653" s="75"/>
      <c r="B1653" s="76"/>
      <c r="C1653" s="76"/>
      <c r="D1653" s="76"/>
      <c r="E1653" s="77"/>
    </row>
    <row r="1654">
      <c r="A1654" s="75"/>
      <c r="B1654" s="76"/>
      <c r="C1654" s="76"/>
      <c r="D1654" s="76"/>
      <c r="E1654" s="77"/>
    </row>
    <row r="1655">
      <c r="A1655" s="75"/>
      <c r="B1655" s="76"/>
      <c r="C1655" s="76"/>
      <c r="D1655" s="76"/>
      <c r="E1655" s="77"/>
    </row>
    <row r="1656">
      <c r="A1656" s="75"/>
      <c r="B1656" s="76"/>
      <c r="C1656" s="76"/>
      <c r="D1656" s="76"/>
      <c r="E1656" s="77"/>
    </row>
    <row r="1657">
      <c r="A1657" s="75"/>
      <c r="B1657" s="76"/>
      <c r="C1657" s="76"/>
      <c r="D1657" s="76"/>
      <c r="E1657" s="77"/>
    </row>
    <row r="1658">
      <c r="A1658" s="75"/>
      <c r="B1658" s="76"/>
      <c r="C1658" s="76"/>
      <c r="D1658" s="76"/>
      <c r="E1658" s="77"/>
    </row>
    <row r="1659">
      <c r="A1659" s="75"/>
      <c r="B1659" s="76"/>
      <c r="C1659" s="76"/>
      <c r="D1659" s="76"/>
      <c r="E1659" s="77"/>
    </row>
    <row r="1660">
      <c r="A1660" s="75"/>
      <c r="B1660" s="76"/>
      <c r="C1660" s="76"/>
      <c r="D1660" s="76"/>
      <c r="E1660" s="77"/>
    </row>
    <row r="1661">
      <c r="A1661" s="75"/>
      <c r="B1661" s="76"/>
      <c r="C1661" s="76"/>
      <c r="D1661" s="76"/>
      <c r="E1661" s="77"/>
    </row>
    <row r="1662">
      <c r="A1662" s="75"/>
      <c r="B1662" s="76"/>
      <c r="C1662" s="76"/>
      <c r="D1662" s="76"/>
      <c r="E1662" s="77"/>
    </row>
    <row r="1663">
      <c r="A1663" s="75"/>
      <c r="B1663" s="76"/>
      <c r="C1663" s="76"/>
      <c r="D1663" s="76"/>
      <c r="E1663" s="77"/>
    </row>
    <row r="1664">
      <c r="A1664" s="75"/>
      <c r="B1664" s="76"/>
      <c r="C1664" s="76"/>
      <c r="D1664" s="76"/>
      <c r="E1664" s="77"/>
    </row>
    <row r="1665">
      <c r="A1665" s="75"/>
      <c r="B1665" s="76"/>
      <c r="C1665" s="76"/>
      <c r="D1665" s="76"/>
      <c r="E1665" s="77"/>
    </row>
    <row r="1666">
      <c r="A1666" s="75"/>
      <c r="B1666" s="76"/>
      <c r="C1666" s="76"/>
      <c r="D1666" s="76"/>
      <c r="E1666" s="77"/>
    </row>
    <row r="1667">
      <c r="A1667" s="75"/>
      <c r="B1667" s="76"/>
      <c r="C1667" s="76"/>
      <c r="D1667" s="76"/>
      <c r="E1667" s="77"/>
    </row>
    <row r="1668">
      <c r="A1668" s="75"/>
      <c r="B1668" s="76"/>
      <c r="C1668" s="76"/>
      <c r="D1668" s="76"/>
      <c r="E1668" s="77"/>
    </row>
    <row r="1669">
      <c r="A1669" s="75"/>
      <c r="B1669" s="76"/>
      <c r="C1669" s="76"/>
      <c r="D1669" s="76"/>
      <c r="E1669" s="77"/>
    </row>
    <row r="1670">
      <c r="A1670" s="75"/>
      <c r="B1670" s="76"/>
      <c r="C1670" s="76"/>
      <c r="D1670" s="76"/>
      <c r="E1670" s="77"/>
    </row>
    <row r="1671">
      <c r="A1671" s="75"/>
      <c r="B1671" s="76"/>
      <c r="C1671" s="76"/>
      <c r="D1671" s="76"/>
      <c r="E1671" s="77"/>
    </row>
    <row r="1672">
      <c r="A1672" s="75"/>
      <c r="B1672" s="76"/>
      <c r="C1672" s="76"/>
      <c r="D1672" s="76"/>
      <c r="E1672" s="77"/>
    </row>
    <row r="1673">
      <c r="A1673" s="75"/>
      <c r="B1673" s="76"/>
      <c r="C1673" s="76"/>
      <c r="D1673" s="76"/>
      <c r="E1673" s="77"/>
    </row>
    <row r="1674">
      <c r="A1674" s="75"/>
      <c r="B1674" s="76"/>
      <c r="C1674" s="76"/>
      <c r="D1674" s="76"/>
      <c r="E1674" s="77"/>
    </row>
    <row r="1675">
      <c r="A1675" s="75"/>
      <c r="B1675" s="76"/>
      <c r="C1675" s="76"/>
      <c r="D1675" s="76"/>
      <c r="E1675" s="77"/>
    </row>
    <row r="1676">
      <c r="A1676" s="75"/>
      <c r="B1676" s="76"/>
      <c r="C1676" s="76"/>
      <c r="D1676" s="76"/>
      <c r="E1676" s="77"/>
    </row>
    <row r="1677">
      <c r="A1677" s="75"/>
      <c r="B1677" s="76"/>
      <c r="C1677" s="76"/>
      <c r="D1677" s="76"/>
      <c r="E1677" s="77"/>
    </row>
    <row r="1678">
      <c r="A1678" s="75"/>
      <c r="B1678" s="76"/>
      <c r="C1678" s="76"/>
      <c r="D1678" s="76"/>
      <c r="E1678" s="77"/>
    </row>
    <row r="1679">
      <c r="A1679" s="75"/>
      <c r="B1679" s="76"/>
      <c r="C1679" s="76"/>
      <c r="D1679" s="76"/>
      <c r="E1679" s="77"/>
    </row>
    <row r="1680">
      <c r="A1680" s="75"/>
      <c r="B1680" s="76"/>
      <c r="C1680" s="76"/>
      <c r="D1680" s="76"/>
      <c r="E1680" s="77"/>
    </row>
    <row r="1681">
      <c r="A1681" s="75"/>
      <c r="B1681" s="76"/>
      <c r="C1681" s="76"/>
      <c r="D1681" s="76"/>
      <c r="E1681" s="77"/>
    </row>
    <row r="1682">
      <c r="A1682" s="75"/>
      <c r="B1682" s="76"/>
      <c r="C1682" s="76"/>
      <c r="D1682" s="76"/>
      <c r="E1682" s="77"/>
    </row>
    <row r="1683">
      <c r="A1683" s="75"/>
      <c r="B1683" s="76"/>
      <c r="C1683" s="76"/>
      <c r="D1683" s="76"/>
      <c r="E1683" s="77"/>
    </row>
    <row r="1684">
      <c r="A1684" s="75"/>
      <c r="B1684" s="76"/>
      <c r="C1684" s="76"/>
      <c r="D1684" s="76"/>
      <c r="E1684" s="77"/>
    </row>
    <row r="1685">
      <c r="A1685" s="75"/>
      <c r="B1685" s="76"/>
      <c r="C1685" s="76"/>
      <c r="D1685" s="76"/>
      <c r="E1685" s="77"/>
    </row>
    <row r="1686">
      <c r="A1686" s="75"/>
      <c r="B1686" s="76"/>
      <c r="C1686" s="76"/>
      <c r="D1686" s="76"/>
      <c r="E1686" s="77"/>
    </row>
    <row r="1687">
      <c r="A1687" s="75"/>
      <c r="B1687" s="76"/>
      <c r="C1687" s="76"/>
      <c r="D1687" s="76"/>
      <c r="E1687" s="77"/>
    </row>
    <row r="1688">
      <c r="A1688" s="75"/>
      <c r="B1688" s="76"/>
      <c r="C1688" s="76"/>
      <c r="D1688" s="76"/>
      <c r="E1688" s="77"/>
    </row>
    <row r="1689">
      <c r="A1689" s="75"/>
      <c r="B1689" s="76"/>
      <c r="C1689" s="76"/>
      <c r="D1689" s="76"/>
      <c r="E1689" s="77"/>
    </row>
    <row r="1690">
      <c r="A1690" s="75"/>
      <c r="B1690" s="76"/>
      <c r="C1690" s="76"/>
      <c r="D1690" s="76"/>
      <c r="E1690" s="77"/>
    </row>
    <row r="1691">
      <c r="A1691" s="75"/>
      <c r="B1691" s="76"/>
      <c r="C1691" s="76"/>
      <c r="D1691" s="76"/>
      <c r="E1691" s="77"/>
    </row>
    <row r="1692">
      <c r="A1692" s="75"/>
      <c r="B1692" s="76"/>
      <c r="C1692" s="76"/>
      <c r="D1692" s="76"/>
      <c r="E1692" s="77"/>
    </row>
    <row r="1693">
      <c r="A1693" s="75"/>
      <c r="B1693" s="76"/>
      <c r="C1693" s="76"/>
      <c r="D1693" s="76"/>
      <c r="E1693" s="77"/>
    </row>
    <row r="1694">
      <c r="A1694" s="75"/>
      <c r="B1694" s="76"/>
      <c r="C1694" s="76"/>
      <c r="D1694" s="76"/>
      <c r="E1694" s="77"/>
    </row>
    <row r="1695">
      <c r="A1695" s="75"/>
      <c r="B1695" s="76"/>
      <c r="C1695" s="76"/>
      <c r="D1695" s="76"/>
      <c r="E1695" s="77"/>
    </row>
    <row r="1696">
      <c r="A1696" s="75"/>
      <c r="B1696" s="76"/>
      <c r="C1696" s="76"/>
      <c r="D1696" s="76"/>
      <c r="E1696" s="77"/>
    </row>
    <row r="1697">
      <c r="A1697" s="75"/>
      <c r="B1697" s="76"/>
      <c r="C1697" s="76"/>
      <c r="D1697" s="76"/>
      <c r="E1697" s="77"/>
    </row>
    <row r="1698">
      <c r="A1698" s="75"/>
      <c r="B1698" s="76"/>
      <c r="C1698" s="76"/>
      <c r="D1698" s="76"/>
      <c r="E1698" s="77"/>
    </row>
    <row r="1699">
      <c r="A1699" s="75"/>
      <c r="B1699" s="76"/>
      <c r="C1699" s="76"/>
      <c r="D1699" s="76"/>
      <c r="E1699" s="77"/>
    </row>
    <row r="1700">
      <c r="A1700" s="75"/>
      <c r="B1700" s="76"/>
      <c r="C1700" s="76"/>
      <c r="D1700" s="76"/>
      <c r="E1700" s="77"/>
    </row>
    <row r="1701">
      <c r="A1701" s="75"/>
      <c r="B1701" s="76"/>
      <c r="C1701" s="76"/>
      <c r="D1701" s="76"/>
      <c r="E1701" s="77"/>
    </row>
    <row r="1702">
      <c r="A1702" s="75"/>
      <c r="B1702" s="76"/>
      <c r="C1702" s="76"/>
      <c r="D1702" s="76"/>
      <c r="E1702" s="77"/>
    </row>
    <row r="1703">
      <c r="A1703" s="75"/>
      <c r="B1703" s="76"/>
      <c r="C1703" s="76"/>
      <c r="D1703" s="76"/>
      <c r="E1703" s="77"/>
    </row>
    <row r="1704">
      <c r="A1704" s="75"/>
      <c r="B1704" s="76"/>
      <c r="C1704" s="76"/>
      <c r="D1704" s="76"/>
      <c r="E1704" s="77"/>
    </row>
    <row r="1705">
      <c r="A1705" s="75"/>
      <c r="B1705" s="76"/>
      <c r="C1705" s="76"/>
      <c r="D1705" s="76"/>
      <c r="E1705" s="77"/>
    </row>
    <row r="1706">
      <c r="A1706" s="75"/>
      <c r="B1706" s="76"/>
      <c r="C1706" s="76"/>
      <c r="D1706" s="76"/>
      <c r="E1706" s="77"/>
    </row>
    <row r="1707">
      <c r="A1707" s="75"/>
      <c r="B1707" s="76"/>
      <c r="C1707" s="76"/>
      <c r="D1707" s="76"/>
      <c r="E1707" s="77"/>
    </row>
    <row r="1708">
      <c r="A1708" s="75"/>
      <c r="B1708" s="76"/>
      <c r="C1708" s="76"/>
      <c r="D1708" s="76"/>
      <c r="E1708" s="77"/>
    </row>
    <row r="1709">
      <c r="A1709" s="75"/>
      <c r="B1709" s="76"/>
      <c r="C1709" s="76"/>
      <c r="D1709" s="76"/>
      <c r="E1709" s="77"/>
    </row>
    <row r="1710">
      <c r="A1710" s="75"/>
      <c r="B1710" s="76"/>
      <c r="C1710" s="76"/>
      <c r="D1710" s="76"/>
      <c r="E1710" s="77"/>
    </row>
    <row r="1711">
      <c r="A1711" s="75"/>
      <c r="B1711" s="76"/>
      <c r="C1711" s="76"/>
      <c r="D1711" s="76"/>
      <c r="E1711" s="77"/>
    </row>
    <row r="1712">
      <c r="A1712" s="75"/>
      <c r="B1712" s="76"/>
      <c r="C1712" s="76"/>
      <c r="D1712" s="76"/>
      <c r="E1712" s="77"/>
    </row>
    <row r="1713">
      <c r="A1713" s="75"/>
      <c r="B1713" s="76"/>
      <c r="C1713" s="76"/>
      <c r="D1713" s="76"/>
      <c r="E1713" s="77"/>
    </row>
    <row r="1714">
      <c r="A1714" s="75"/>
      <c r="B1714" s="76"/>
      <c r="C1714" s="76"/>
      <c r="D1714" s="76"/>
      <c r="E1714" s="77"/>
    </row>
    <row r="1715">
      <c r="A1715" s="75"/>
      <c r="B1715" s="76"/>
      <c r="C1715" s="76"/>
      <c r="D1715" s="76"/>
      <c r="E1715" s="77"/>
    </row>
    <row r="1716">
      <c r="A1716" s="75"/>
      <c r="B1716" s="76"/>
      <c r="C1716" s="76"/>
      <c r="D1716" s="76"/>
      <c r="E1716" s="77"/>
    </row>
    <row r="1717">
      <c r="A1717" s="75"/>
      <c r="B1717" s="76"/>
      <c r="C1717" s="76"/>
      <c r="D1717" s="76"/>
      <c r="E1717" s="77"/>
    </row>
    <row r="1718">
      <c r="A1718" s="75"/>
      <c r="B1718" s="76"/>
      <c r="C1718" s="76"/>
      <c r="D1718" s="76"/>
      <c r="E1718" s="77"/>
    </row>
    <row r="1719">
      <c r="A1719" s="75"/>
      <c r="B1719" s="76"/>
      <c r="C1719" s="76"/>
      <c r="D1719" s="76"/>
      <c r="E1719" s="77"/>
    </row>
    <row r="1720">
      <c r="A1720" s="75"/>
      <c r="B1720" s="76"/>
      <c r="C1720" s="76"/>
      <c r="D1720" s="76"/>
      <c r="E1720" s="77"/>
    </row>
    <row r="1721">
      <c r="A1721" s="75"/>
      <c r="B1721" s="76"/>
      <c r="C1721" s="76"/>
      <c r="D1721" s="76"/>
      <c r="E1721" s="77"/>
    </row>
    <row r="1722">
      <c r="A1722" s="75"/>
      <c r="B1722" s="76"/>
      <c r="C1722" s="76"/>
      <c r="D1722" s="76"/>
      <c r="E1722" s="77"/>
    </row>
    <row r="1723">
      <c r="A1723" s="75"/>
      <c r="B1723" s="76"/>
      <c r="C1723" s="76"/>
      <c r="D1723" s="76"/>
      <c r="E1723" s="77"/>
    </row>
    <row r="1724">
      <c r="A1724" s="75"/>
      <c r="B1724" s="76"/>
      <c r="C1724" s="76"/>
      <c r="D1724" s="76"/>
      <c r="E1724" s="77"/>
    </row>
    <row r="1725">
      <c r="A1725" s="75"/>
      <c r="B1725" s="76"/>
      <c r="C1725" s="76"/>
      <c r="D1725" s="76"/>
      <c r="E1725" s="77"/>
    </row>
    <row r="1726">
      <c r="A1726" s="75"/>
      <c r="B1726" s="76"/>
      <c r="C1726" s="76"/>
      <c r="D1726" s="76"/>
      <c r="E1726" s="77"/>
    </row>
    <row r="1727">
      <c r="A1727" s="75"/>
      <c r="B1727" s="76"/>
      <c r="C1727" s="76"/>
      <c r="D1727" s="76"/>
      <c r="E1727" s="77"/>
    </row>
    <row r="1728">
      <c r="A1728" s="75"/>
      <c r="B1728" s="76"/>
      <c r="C1728" s="76"/>
      <c r="D1728" s="76"/>
      <c r="E1728" s="77"/>
    </row>
    <row r="1729">
      <c r="A1729" s="75"/>
      <c r="B1729" s="76"/>
      <c r="C1729" s="76"/>
      <c r="D1729" s="76"/>
      <c r="E1729" s="77"/>
    </row>
    <row r="1730">
      <c r="A1730" s="75"/>
      <c r="B1730" s="76"/>
      <c r="C1730" s="76"/>
      <c r="D1730" s="76"/>
      <c r="E1730" s="77"/>
    </row>
    <row r="1731">
      <c r="A1731" s="75"/>
      <c r="B1731" s="76"/>
      <c r="C1731" s="76"/>
      <c r="D1731" s="76"/>
      <c r="E1731" s="77"/>
    </row>
    <row r="1732">
      <c r="A1732" s="75"/>
      <c r="B1732" s="76"/>
      <c r="C1732" s="76"/>
      <c r="D1732" s="76"/>
      <c r="E1732" s="77"/>
    </row>
    <row r="1733">
      <c r="A1733" s="75"/>
      <c r="B1733" s="76"/>
      <c r="C1733" s="76"/>
      <c r="D1733" s="76"/>
      <c r="E1733" s="77"/>
    </row>
    <row r="1734">
      <c r="A1734" s="75"/>
      <c r="B1734" s="76"/>
      <c r="C1734" s="76"/>
      <c r="D1734" s="76"/>
      <c r="E1734" s="77"/>
    </row>
    <row r="1735">
      <c r="A1735" s="75"/>
      <c r="B1735" s="76"/>
      <c r="C1735" s="76"/>
      <c r="D1735" s="76"/>
      <c r="E1735" s="77"/>
    </row>
    <row r="1736">
      <c r="A1736" s="75"/>
      <c r="B1736" s="76"/>
      <c r="C1736" s="76"/>
      <c r="D1736" s="76"/>
      <c r="E1736" s="77"/>
    </row>
    <row r="1737">
      <c r="A1737" s="75"/>
      <c r="B1737" s="76"/>
      <c r="C1737" s="76"/>
      <c r="D1737" s="76"/>
      <c r="E1737" s="77"/>
    </row>
    <row r="1738">
      <c r="A1738" s="75"/>
      <c r="B1738" s="76"/>
      <c r="C1738" s="76"/>
      <c r="D1738" s="76"/>
      <c r="E1738" s="77"/>
    </row>
    <row r="1739">
      <c r="A1739" s="75"/>
      <c r="B1739" s="76"/>
      <c r="C1739" s="76"/>
      <c r="D1739" s="76"/>
      <c r="E1739" s="77"/>
    </row>
    <row r="1740">
      <c r="A1740" s="75"/>
      <c r="B1740" s="76"/>
      <c r="C1740" s="76"/>
      <c r="D1740" s="76"/>
      <c r="E1740" s="77"/>
    </row>
    <row r="1741">
      <c r="A1741" s="75"/>
      <c r="B1741" s="76"/>
      <c r="C1741" s="76"/>
      <c r="D1741" s="76"/>
      <c r="E1741" s="77"/>
    </row>
    <row r="1742">
      <c r="A1742" s="75"/>
      <c r="B1742" s="76"/>
      <c r="C1742" s="76"/>
      <c r="D1742" s="76"/>
      <c r="E1742" s="77"/>
    </row>
    <row r="1743">
      <c r="A1743" s="75"/>
      <c r="B1743" s="76"/>
      <c r="C1743" s="76"/>
      <c r="D1743" s="76"/>
      <c r="E1743" s="77"/>
    </row>
    <row r="1744">
      <c r="A1744" s="75"/>
      <c r="B1744" s="76"/>
      <c r="C1744" s="76"/>
      <c r="D1744" s="76"/>
      <c r="E1744" s="77"/>
    </row>
    <row r="1745">
      <c r="A1745" s="75"/>
      <c r="B1745" s="76"/>
      <c r="C1745" s="76"/>
      <c r="D1745" s="76"/>
      <c r="E1745" s="77"/>
    </row>
    <row r="1746">
      <c r="A1746" s="75"/>
      <c r="B1746" s="76"/>
      <c r="C1746" s="76"/>
      <c r="D1746" s="76"/>
      <c r="E1746" s="77"/>
    </row>
    <row r="1747">
      <c r="A1747" s="75"/>
      <c r="B1747" s="76"/>
      <c r="C1747" s="76"/>
      <c r="D1747" s="76"/>
      <c r="E1747" s="77"/>
    </row>
    <row r="1748">
      <c r="A1748" s="75"/>
      <c r="B1748" s="76"/>
      <c r="C1748" s="76"/>
      <c r="D1748" s="76"/>
      <c r="E1748" s="77"/>
    </row>
    <row r="1749">
      <c r="A1749" s="75"/>
      <c r="B1749" s="76"/>
      <c r="C1749" s="76"/>
      <c r="D1749" s="76"/>
      <c r="E1749" s="77"/>
    </row>
    <row r="1750">
      <c r="A1750" s="75"/>
      <c r="B1750" s="76"/>
      <c r="C1750" s="76"/>
      <c r="D1750" s="76"/>
      <c r="E1750" s="77"/>
    </row>
    <row r="1751">
      <c r="A1751" s="75"/>
      <c r="B1751" s="76"/>
      <c r="C1751" s="76"/>
      <c r="D1751" s="76"/>
      <c r="E1751" s="77"/>
    </row>
    <row r="1752">
      <c r="A1752" s="75"/>
      <c r="B1752" s="76"/>
      <c r="C1752" s="76"/>
      <c r="D1752" s="76"/>
      <c r="E1752" s="77"/>
    </row>
    <row r="1753">
      <c r="A1753" s="75"/>
      <c r="B1753" s="76"/>
      <c r="C1753" s="76"/>
      <c r="D1753" s="76"/>
      <c r="E1753" s="77"/>
    </row>
    <row r="1754">
      <c r="A1754" s="75"/>
      <c r="B1754" s="76"/>
      <c r="C1754" s="76"/>
      <c r="D1754" s="76"/>
      <c r="E1754" s="77"/>
    </row>
    <row r="1755">
      <c r="A1755" s="75"/>
      <c r="B1755" s="76"/>
      <c r="C1755" s="76"/>
      <c r="D1755" s="76"/>
      <c r="E1755" s="77"/>
    </row>
    <row r="1756">
      <c r="A1756" s="75"/>
      <c r="B1756" s="76"/>
      <c r="C1756" s="76"/>
      <c r="D1756" s="76"/>
      <c r="E1756" s="77"/>
    </row>
    <row r="1757">
      <c r="A1757" s="75"/>
      <c r="B1757" s="76"/>
      <c r="C1757" s="76"/>
      <c r="D1757" s="76"/>
      <c r="E1757" s="77"/>
    </row>
    <row r="1758">
      <c r="A1758" s="75"/>
      <c r="B1758" s="76"/>
      <c r="C1758" s="76"/>
      <c r="D1758" s="76"/>
      <c r="E1758" s="77"/>
    </row>
    <row r="1759">
      <c r="A1759" s="75"/>
      <c r="B1759" s="76"/>
      <c r="C1759" s="76"/>
      <c r="D1759" s="76"/>
      <c r="E1759" s="77"/>
    </row>
    <row r="1760">
      <c r="A1760" s="75"/>
      <c r="B1760" s="76"/>
      <c r="C1760" s="76"/>
      <c r="D1760" s="76"/>
      <c r="E1760" s="77"/>
    </row>
    <row r="1761">
      <c r="A1761" s="75"/>
      <c r="B1761" s="76"/>
      <c r="C1761" s="76"/>
      <c r="D1761" s="76"/>
      <c r="E1761" s="77"/>
    </row>
    <row r="1762">
      <c r="A1762" s="75"/>
      <c r="B1762" s="76"/>
      <c r="C1762" s="76"/>
      <c r="D1762" s="76"/>
      <c r="E1762" s="77"/>
    </row>
    <row r="1763">
      <c r="A1763" s="75"/>
      <c r="B1763" s="76"/>
      <c r="C1763" s="76"/>
      <c r="D1763" s="76"/>
      <c r="E1763" s="77"/>
    </row>
    <row r="1764">
      <c r="A1764" s="75"/>
      <c r="B1764" s="76"/>
      <c r="C1764" s="76"/>
      <c r="D1764" s="76"/>
      <c r="E1764" s="77"/>
    </row>
    <row r="1765">
      <c r="A1765" s="75"/>
      <c r="B1765" s="76"/>
      <c r="C1765" s="76"/>
      <c r="D1765" s="76"/>
      <c r="E1765" s="77"/>
    </row>
    <row r="1766">
      <c r="A1766" s="75"/>
      <c r="B1766" s="76"/>
      <c r="C1766" s="76"/>
      <c r="D1766" s="76"/>
      <c r="E1766" s="77"/>
    </row>
    <row r="1767">
      <c r="A1767" s="75"/>
      <c r="B1767" s="76"/>
      <c r="C1767" s="76"/>
      <c r="D1767" s="76"/>
      <c r="E1767" s="77"/>
    </row>
    <row r="1768">
      <c r="A1768" s="75"/>
      <c r="B1768" s="76"/>
      <c r="C1768" s="76"/>
      <c r="D1768" s="76"/>
      <c r="E1768" s="77"/>
    </row>
    <row r="1769">
      <c r="A1769" s="75"/>
      <c r="B1769" s="76"/>
      <c r="C1769" s="76"/>
      <c r="D1769" s="76"/>
      <c r="E1769" s="77"/>
    </row>
    <row r="1770">
      <c r="A1770" s="75"/>
      <c r="B1770" s="76"/>
      <c r="C1770" s="76"/>
      <c r="D1770" s="76"/>
      <c r="E1770" s="77"/>
    </row>
    <row r="1771">
      <c r="A1771" s="75"/>
      <c r="B1771" s="76"/>
      <c r="C1771" s="76"/>
      <c r="D1771" s="76"/>
      <c r="E1771" s="77"/>
    </row>
    <row r="1772">
      <c r="A1772" s="75"/>
      <c r="B1772" s="76"/>
      <c r="C1772" s="76"/>
      <c r="D1772" s="76"/>
      <c r="E1772" s="77"/>
    </row>
    <row r="1773">
      <c r="A1773" s="75"/>
      <c r="B1773" s="76"/>
      <c r="C1773" s="76"/>
      <c r="D1773" s="76"/>
      <c r="E1773" s="77"/>
    </row>
    <row r="1774">
      <c r="A1774" s="75"/>
      <c r="B1774" s="76"/>
      <c r="C1774" s="76"/>
      <c r="D1774" s="76"/>
      <c r="E1774" s="77"/>
    </row>
    <row r="1775">
      <c r="A1775" s="75"/>
      <c r="B1775" s="76"/>
      <c r="C1775" s="76"/>
      <c r="D1775" s="76"/>
      <c r="E1775" s="77"/>
    </row>
    <row r="1776">
      <c r="A1776" s="75"/>
      <c r="B1776" s="76"/>
      <c r="C1776" s="76"/>
      <c r="D1776" s="76"/>
      <c r="E1776" s="77"/>
    </row>
    <row r="1777">
      <c r="A1777" s="75"/>
      <c r="B1777" s="76"/>
      <c r="C1777" s="76"/>
      <c r="D1777" s="76"/>
      <c r="E1777" s="77"/>
    </row>
    <row r="1778">
      <c r="A1778" s="75"/>
      <c r="B1778" s="76"/>
      <c r="C1778" s="76"/>
      <c r="D1778" s="76"/>
      <c r="E1778" s="77"/>
    </row>
    <row r="1779">
      <c r="A1779" s="75"/>
      <c r="B1779" s="76"/>
      <c r="C1779" s="76"/>
      <c r="D1779" s="76"/>
      <c r="E1779" s="77"/>
    </row>
    <row r="1780">
      <c r="A1780" s="75"/>
      <c r="B1780" s="76"/>
      <c r="C1780" s="76"/>
      <c r="D1780" s="76"/>
      <c r="E1780" s="77"/>
    </row>
    <row r="1781">
      <c r="A1781" s="75"/>
      <c r="B1781" s="76"/>
      <c r="C1781" s="76"/>
      <c r="D1781" s="76"/>
      <c r="E1781" s="77"/>
    </row>
    <row r="1782">
      <c r="A1782" s="75"/>
      <c r="B1782" s="76"/>
      <c r="C1782" s="76"/>
      <c r="D1782" s="76"/>
      <c r="E1782" s="77"/>
    </row>
    <row r="1783">
      <c r="A1783" s="75"/>
      <c r="B1783" s="76"/>
      <c r="C1783" s="76"/>
      <c r="D1783" s="76"/>
      <c r="E1783" s="77"/>
    </row>
    <row r="1784">
      <c r="A1784" s="75"/>
      <c r="B1784" s="76"/>
      <c r="C1784" s="76"/>
      <c r="D1784" s="76"/>
      <c r="E1784" s="77"/>
    </row>
    <row r="1785">
      <c r="A1785" s="75"/>
      <c r="B1785" s="76"/>
      <c r="C1785" s="76"/>
      <c r="D1785" s="76"/>
      <c r="E1785" s="77"/>
    </row>
    <row r="1786">
      <c r="A1786" s="75"/>
      <c r="B1786" s="76"/>
      <c r="C1786" s="76"/>
      <c r="D1786" s="76"/>
      <c r="E1786" s="77"/>
    </row>
    <row r="1787">
      <c r="A1787" s="75"/>
      <c r="B1787" s="76"/>
      <c r="C1787" s="76"/>
      <c r="D1787" s="76"/>
      <c r="E1787" s="77"/>
    </row>
    <row r="1788">
      <c r="A1788" s="75"/>
      <c r="B1788" s="76"/>
      <c r="C1788" s="76"/>
      <c r="D1788" s="76"/>
      <c r="E1788" s="77"/>
    </row>
    <row r="1789">
      <c r="A1789" s="75"/>
      <c r="B1789" s="76"/>
      <c r="C1789" s="76"/>
      <c r="D1789" s="76"/>
      <c r="E1789" s="77"/>
    </row>
    <row r="1790">
      <c r="A1790" s="75"/>
      <c r="B1790" s="76"/>
      <c r="C1790" s="76"/>
      <c r="D1790" s="76"/>
      <c r="E1790" s="77"/>
    </row>
    <row r="1791">
      <c r="A1791" s="75"/>
      <c r="B1791" s="76"/>
      <c r="C1791" s="76"/>
      <c r="D1791" s="76"/>
      <c r="E1791" s="77"/>
    </row>
    <row r="1792">
      <c r="A1792" s="75"/>
      <c r="B1792" s="76"/>
      <c r="C1792" s="76"/>
      <c r="D1792" s="76"/>
      <c r="E1792" s="77"/>
    </row>
    <row r="1793">
      <c r="A1793" s="75"/>
      <c r="B1793" s="76"/>
      <c r="C1793" s="76"/>
      <c r="D1793" s="76"/>
      <c r="E1793" s="77"/>
    </row>
    <row r="1794">
      <c r="A1794" s="75"/>
      <c r="B1794" s="76"/>
      <c r="C1794" s="76"/>
      <c r="D1794" s="76"/>
      <c r="E1794" s="77"/>
    </row>
    <row r="1795">
      <c r="A1795" s="75"/>
      <c r="B1795" s="76"/>
      <c r="C1795" s="76"/>
      <c r="D1795" s="76"/>
      <c r="E1795" s="77"/>
    </row>
    <row r="1796">
      <c r="A1796" s="75"/>
      <c r="B1796" s="76"/>
      <c r="C1796" s="76"/>
      <c r="D1796" s="76"/>
      <c r="E1796" s="77"/>
    </row>
    <row r="1797">
      <c r="A1797" s="75"/>
      <c r="B1797" s="76"/>
      <c r="C1797" s="76"/>
      <c r="D1797" s="76"/>
      <c r="E1797" s="77"/>
    </row>
    <row r="1798">
      <c r="A1798" s="75"/>
      <c r="B1798" s="76"/>
      <c r="C1798" s="76"/>
      <c r="D1798" s="76"/>
      <c r="E1798" s="77"/>
    </row>
    <row r="1799">
      <c r="A1799" s="75"/>
      <c r="B1799" s="76"/>
      <c r="C1799" s="76"/>
      <c r="D1799" s="76"/>
      <c r="E1799" s="77"/>
    </row>
    <row r="1800">
      <c r="A1800" s="75"/>
      <c r="B1800" s="76"/>
      <c r="C1800" s="76"/>
      <c r="D1800" s="76"/>
      <c r="E1800" s="77"/>
    </row>
    <row r="1801">
      <c r="A1801" s="75"/>
      <c r="B1801" s="76"/>
      <c r="C1801" s="76"/>
      <c r="D1801" s="76"/>
      <c r="E1801" s="77"/>
    </row>
    <row r="1802">
      <c r="A1802" s="75"/>
      <c r="B1802" s="76"/>
      <c r="C1802" s="76"/>
      <c r="D1802" s="76"/>
      <c r="E1802" s="77"/>
    </row>
    <row r="1803">
      <c r="A1803" s="75"/>
      <c r="B1803" s="76"/>
      <c r="C1803" s="76"/>
      <c r="D1803" s="76"/>
      <c r="E1803" s="77"/>
    </row>
    <row r="1804">
      <c r="A1804" s="75"/>
      <c r="B1804" s="76"/>
      <c r="C1804" s="76"/>
      <c r="D1804" s="76"/>
      <c r="E1804" s="77"/>
    </row>
    <row r="1805">
      <c r="A1805" s="75"/>
      <c r="B1805" s="76"/>
      <c r="C1805" s="76"/>
      <c r="D1805" s="76"/>
      <c r="E1805" s="77"/>
    </row>
    <row r="1806">
      <c r="A1806" s="75"/>
      <c r="B1806" s="76"/>
      <c r="C1806" s="76"/>
      <c r="D1806" s="76"/>
      <c r="E1806" s="77"/>
    </row>
    <row r="1807">
      <c r="A1807" s="75"/>
      <c r="B1807" s="76"/>
      <c r="C1807" s="76"/>
      <c r="D1807" s="76"/>
      <c r="E1807" s="77"/>
    </row>
    <row r="1808">
      <c r="A1808" s="75"/>
      <c r="B1808" s="76"/>
      <c r="C1808" s="76"/>
      <c r="D1808" s="76"/>
      <c r="E1808" s="77"/>
    </row>
    <row r="1809">
      <c r="A1809" s="75"/>
      <c r="B1809" s="76"/>
      <c r="C1809" s="76"/>
      <c r="D1809" s="76"/>
      <c r="E1809" s="77"/>
    </row>
    <row r="1810">
      <c r="A1810" s="75"/>
      <c r="B1810" s="76"/>
      <c r="C1810" s="76"/>
      <c r="D1810" s="76"/>
      <c r="E1810" s="77"/>
    </row>
    <row r="1811">
      <c r="A1811" s="75"/>
      <c r="B1811" s="76"/>
      <c r="C1811" s="76"/>
      <c r="D1811" s="76"/>
      <c r="E1811" s="77"/>
    </row>
    <row r="1812">
      <c r="A1812" s="75"/>
      <c r="B1812" s="76"/>
      <c r="C1812" s="76"/>
      <c r="D1812" s="76"/>
      <c r="E1812" s="77"/>
    </row>
    <row r="1813">
      <c r="A1813" s="75"/>
      <c r="B1813" s="76"/>
      <c r="C1813" s="76"/>
      <c r="D1813" s="76"/>
      <c r="E1813" s="77"/>
    </row>
    <row r="1814">
      <c r="A1814" s="75"/>
      <c r="B1814" s="76"/>
      <c r="C1814" s="76"/>
      <c r="D1814" s="76"/>
      <c r="E1814" s="77"/>
    </row>
    <row r="1815">
      <c r="A1815" s="75"/>
      <c r="B1815" s="76"/>
      <c r="C1815" s="76"/>
      <c r="D1815" s="76"/>
      <c r="E1815" s="77"/>
    </row>
    <row r="1816">
      <c r="A1816" s="75"/>
      <c r="B1816" s="76"/>
      <c r="C1816" s="76"/>
      <c r="D1816" s="76"/>
      <c r="E1816" s="77"/>
    </row>
    <row r="1817">
      <c r="A1817" s="75"/>
      <c r="B1817" s="76"/>
      <c r="C1817" s="76"/>
      <c r="D1817" s="76"/>
      <c r="E1817" s="77"/>
    </row>
    <row r="1818">
      <c r="A1818" s="75"/>
      <c r="B1818" s="76"/>
      <c r="C1818" s="76"/>
      <c r="D1818" s="76"/>
      <c r="E1818" s="77"/>
    </row>
    <row r="1819">
      <c r="A1819" s="75"/>
      <c r="B1819" s="76"/>
      <c r="C1819" s="76"/>
      <c r="D1819" s="76"/>
      <c r="E1819" s="77"/>
    </row>
    <row r="1820">
      <c r="A1820" s="75"/>
      <c r="B1820" s="76"/>
      <c r="C1820" s="76"/>
      <c r="D1820" s="76"/>
      <c r="E1820" s="77"/>
    </row>
    <row r="1821">
      <c r="A1821" s="75"/>
      <c r="B1821" s="76"/>
      <c r="C1821" s="76"/>
      <c r="D1821" s="76"/>
      <c r="E1821" s="77"/>
    </row>
    <row r="1822">
      <c r="A1822" s="75"/>
      <c r="B1822" s="76"/>
      <c r="C1822" s="76"/>
      <c r="D1822" s="76"/>
      <c r="E1822" s="77"/>
    </row>
    <row r="1823">
      <c r="A1823" s="75"/>
      <c r="B1823" s="76"/>
      <c r="C1823" s="76"/>
      <c r="D1823" s="76"/>
      <c r="E1823" s="77"/>
    </row>
    <row r="1824">
      <c r="A1824" s="75"/>
      <c r="B1824" s="76"/>
      <c r="C1824" s="76"/>
      <c r="D1824" s="76"/>
      <c r="E1824" s="77"/>
    </row>
    <row r="1825">
      <c r="A1825" s="75"/>
      <c r="B1825" s="76"/>
      <c r="C1825" s="76"/>
      <c r="D1825" s="76"/>
      <c r="E1825" s="77"/>
    </row>
    <row r="1826">
      <c r="A1826" s="75"/>
      <c r="B1826" s="76"/>
      <c r="C1826" s="76"/>
      <c r="D1826" s="76"/>
      <c r="E1826" s="77"/>
    </row>
    <row r="1827">
      <c r="A1827" s="75"/>
      <c r="B1827" s="76"/>
      <c r="C1827" s="76"/>
      <c r="D1827" s="76"/>
      <c r="E1827" s="77"/>
    </row>
    <row r="1828">
      <c r="A1828" s="75"/>
      <c r="B1828" s="76"/>
      <c r="C1828" s="76"/>
      <c r="D1828" s="76"/>
      <c r="E1828" s="77"/>
    </row>
    <row r="1829">
      <c r="A1829" s="75"/>
      <c r="B1829" s="76"/>
      <c r="C1829" s="76"/>
      <c r="D1829" s="76"/>
      <c r="E1829" s="77"/>
    </row>
    <row r="1830">
      <c r="A1830" s="75"/>
      <c r="B1830" s="76"/>
      <c r="C1830" s="76"/>
      <c r="D1830" s="76"/>
      <c r="E1830" s="77"/>
    </row>
    <row r="1831">
      <c r="A1831" s="75"/>
      <c r="B1831" s="76"/>
      <c r="C1831" s="76"/>
      <c r="D1831" s="76"/>
      <c r="E1831" s="77"/>
    </row>
    <row r="1832">
      <c r="A1832" s="75"/>
      <c r="B1832" s="76"/>
      <c r="C1832" s="76"/>
      <c r="D1832" s="76"/>
      <c r="E1832" s="77"/>
    </row>
    <row r="1833">
      <c r="A1833" s="75"/>
      <c r="B1833" s="76"/>
      <c r="C1833" s="76"/>
      <c r="D1833" s="76"/>
      <c r="E1833" s="77"/>
    </row>
    <row r="1834">
      <c r="A1834" s="75"/>
      <c r="B1834" s="76"/>
      <c r="C1834" s="76"/>
      <c r="D1834" s="76"/>
      <c r="E1834" s="77"/>
    </row>
    <row r="1835">
      <c r="A1835" s="75"/>
      <c r="B1835" s="76"/>
      <c r="C1835" s="76"/>
      <c r="D1835" s="76"/>
      <c r="E1835" s="77"/>
    </row>
    <row r="1836">
      <c r="A1836" s="75"/>
      <c r="B1836" s="76"/>
      <c r="C1836" s="76"/>
      <c r="D1836" s="76"/>
      <c r="E1836" s="77"/>
    </row>
    <row r="1837">
      <c r="A1837" s="75"/>
      <c r="B1837" s="76"/>
      <c r="C1837" s="76"/>
      <c r="D1837" s="76"/>
      <c r="E1837" s="77"/>
    </row>
    <row r="1838">
      <c r="A1838" s="75"/>
      <c r="B1838" s="76"/>
      <c r="C1838" s="76"/>
      <c r="D1838" s="76"/>
      <c r="E1838" s="77"/>
    </row>
    <row r="1839">
      <c r="A1839" s="75"/>
      <c r="B1839" s="76"/>
      <c r="C1839" s="76"/>
      <c r="D1839" s="76"/>
      <c r="E1839" s="77"/>
    </row>
    <row r="1840">
      <c r="A1840" s="75"/>
      <c r="B1840" s="76"/>
      <c r="C1840" s="76"/>
      <c r="D1840" s="76"/>
      <c r="E1840" s="77"/>
    </row>
    <row r="1841">
      <c r="A1841" s="75"/>
      <c r="B1841" s="76"/>
      <c r="C1841" s="76"/>
      <c r="D1841" s="76"/>
      <c r="E1841" s="77"/>
    </row>
    <row r="1842">
      <c r="A1842" s="75"/>
      <c r="B1842" s="76"/>
      <c r="C1842" s="76"/>
      <c r="D1842" s="76"/>
      <c r="E1842" s="77"/>
    </row>
    <row r="1843">
      <c r="A1843" s="75"/>
      <c r="B1843" s="76"/>
      <c r="C1843" s="76"/>
      <c r="D1843" s="76"/>
      <c r="E1843" s="77"/>
    </row>
    <row r="1844">
      <c r="A1844" s="75"/>
      <c r="B1844" s="76"/>
      <c r="C1844" s="76"/>
      <c r="D1844" s="76"/>
      <c r="E1844" s="77"/>
    </row>
    <row r="1845">
      <c r="A1845" s="75"/>
      <c r="B1845" s="76"/>
      <c r="C1845" s="76"/>
      <c r="D1845" s="76"/>
      <c r="E1845" s="77"/>
    </row>
    <row r="1846">
      <c r="A1846" s="75"/>
      <c r="B1846" s="76"/>
      <c r="C1846" s="76"/>
      <c r="D1846" s="76"/>
      <c r="E1846" s="77"/>
    </row>
    <row r="1847">
      <c r="A1847" s="75"/>
      <c r="B1847" s="76"/>
      <c r="C1847" s="76"/>
      <c r="D1847" s="76"/>
      <c r="E1847" s="77"/>
    </row>
    <row r="1848">
      <c r="A1848" s="75"/>
      <c r="B1848" s="76"/>
      <c r="C1848" s="76"/>
      <c r="D1848" s="76"/>
      <c r="E1848" s="77"/>
    </row>
    <row r="1849">
      <c r="A1849" s="75"/>
      <c r="B1849" s="76"/>
      <c r="C1849" s="76"/>
      <c r="D1849" s="76"/>
      <c r="E1849" s="77"/>
    </row>
    <row r="1850">
      <c r="A1850" s="75"/>
      <c r="B1850" s="76"/>
      <c r="C1850" s="76"/>
      <c r="D1850" s="76"/>
      <c r="E1850" s="77"/>
    </row>
    <row r="1851">
      <c r="A1851" s="75"/>
      <c r="B1851" s="76"/>
      <c r="C1851" s="76"/>
      <c r="D1851" s="76"/>
      <c r="E1851" s="77"/>
    </row>
    <row r="1852">
      <c r="A1852" s="75"/>
      <c r="B1852" s="76"/>
      <c r="C1852" s="76"/>
      <c r="D1852" s="76"/>
      <c r="E1852" s="77"/>
    </row>
    <row r="1853">
      <c r="A1853" s="75"/>
      <c r="B1853" s="76"/>
      <c r="C1853" s="76"/>
      <c r="D1853" s="76"/>
      <c r="E1853" s="77"/>
    </row>
    <row r="1854">
      <c r="A1854" s="75"/>
      <c r="B1854" s="76"/>
      <c r="C1854" s="76"/>
      <c r="D1854" s="76"/>
      <c r="E1854" s="77"/>
    </row>
    <row r="1855">
      <c r="A1855" s="75"/>
      <c r="B1855" s="76"/>
      <c r="C1855" s="76"/>
      <c r="D1855" s="76"/>
      <c r="E1855" s="77"/>
    </row>
    <row r="1856">
      <c r="A1856" s="75"/>
      <c r="B1856" s="76"/>
      <c r="C1856" s="76"/>
      <c r="D1856" s="76"/>
      <c r="E1856" s="77"/>
    </row>
    <row r="1857">
      <c r="A1857" s="75"/>
      <c r="B1857" s="76"/>
      <c r="C1857" s="76"/>
      <c r="D1857" s="76"/>
      <c r="E1857" s="77"/>
    </row>
    <row r="1858">
      <c r="A1858" s="75"/>
      <c r="B1858" s="76"/>
      <c r="C1858" s="76"/>
      <c r="D1858" s="76"/>
      <c r="E1858" s="77"/>
    </row>
    <row r="1859">
      <c r="A1859" s="75"/>
      <c r="B1859" s="76"/>
      <c r="C1859" s="76"/>
      <c r="D1859" s="76"/>
      <c r="E1859" s="77"/>
    </row>
    <row r="1860">
      <c r="A1860" s="75"/>
      <c r="B1860" s="76"/>
      <c r="C1860" s="76"/>
      <c r="D1860" s="76"/>
      <c r="E1860" s="77"/>
    </row>
    <row r="1861">
      <c r="A1861" s="75"/>
      <c r="B1861" s="76"/>
      <c r="C1861" s="76"/>
      <c r="D1861" s="76"/>
      <c r="E1861" s="77"/>
    </row>
    <row r="1862">
      <c r="A1862" s="75"/>
      <c r="B1862" s="76"/>
      <c r="C1862" s="76"/>
      <c r="D1862" s="76"/>
      <c r="E1862" s="77"/>
    </row>
    <row r="1863">
      <c r="A1863" s="75"/>
      <c r="B1863" s="76"/>
      <c r="C1863" s="76"/>
      <c r="D1863" s="76"/>
      <c r="E1863" s="77"/>
    </row>
    <row r="1864">
      <c r="A1864" s="75"/>
      <c r="B1864" s="76"/>
      <c r="C1864" s="76"/>
      <c r="D1864" s="76"/>
      <c r="E1864" s="77"/>
    </row>
    <row r="1865">
      <c r="A1865" s="75"/>
      <c r="B1865" s="76"/>
      <c r="C1865" s="76"/>
      <c r="D1865" s="76"/>
      <c r="E1865" s="77"/>
    </row>
    <row r="1866">
      <c r="A1866" s="75"/>
      <c r="B1866" s="76"/>
      <c r="C1866" s="76"/>
      <c r="D1866" s="76"/>
      <c r="E1866" s="77"/>
    </row>
    <row r="1867">
      <c r="A1867" s="75"/>
      <c r="B1867" s="76"/>
      <c r="C1867" s="76"/>
      <c r="D1867" s="76"/>
      <c r="E1867" s="77"/>
    </row>
    <row r="1868">
      <c r="A1868" s="75"/>
      <c r="B1868" s="76"/>
      <c r="C1868" s="76"/>
      <c r="D1868" s="76"/>
      <c r="E1868" s="77"/>
    </row>
    <row r="1869">
      <c r="A1869" s="75"/>
      <c r="B1869" s="76"/>
      <c r="C1869" s="76"/>
      <c r="D1869" s="76"/>
      <c r="E1869" s="77"/>
    </row>
    <row r="1870">
      <c r="A1870" s="75"/>
      <c r="B1870" s="76"/>
      <c r="C1870" s="76"/>
      <c r="D1870" s="76"/>
      <c r="E1870" s="77"/>
    </row>
    <row r="1871">
      <c r="A1871" s="75"/>
      <c r="B1871" s="76"/>
      <c r="C1871" s="76"/>
      <c r="D1871" s="76"/>
      <c r="E1871" s="77"/>
    </row>
    <row r="1872">
      <c r="A1872" s="75"/>
      <c r="B1872" s="76"/>
      <c r="C1872" s="76"/>
      <c r="D1872" s="76"/>
      <c r="E1872" s="77"/>
    </row>
    <row r="1873">
      <c r="A1873" s="75"/>
      <c r="B1873" s="76"/>
      <c r="C1873" s="76"/>
      <c r="D1873" s="76"/>
      <c r="E1873" s="77"/>
    </row>
    <row r="1874">
      <c r="A1874" s="75"/>
      <c r="B1874" s="76"/>
      <c r="C1874" s="76"/>
      <c r="D1874" s="76"/>
      <c r="E1874" s="77"/>
    </row>
    <row r="1875">
      <c r="A1875" s="75"/>
      <c r="B1875" s="76"/>
      <c r="C1875" s="76"/>
      <c r="D1875" s="76"/>
      <c r="E1875" s="77"/>
    </row>
    <row r="1876">
      <c r="A1876" s="75"/>
      <c r="B1876" s="76"/>
      <c r="C1876" s="76"/>
      <c r="D1876" s="76"/>
      <c r="E1876" s="77"/>
    </row>
    <row r="1877">
      <c r="A1877" s="75"/>
      <c r="B1877" s="76"/>
      <c r="C1877" s="76"/>
      <c r="D1877" s="76"/>
      <c r="E1877" s="77"/>
    </row>
    <row r="1878">
      <c r="A1878" s="75"/>
      <c r="B1878" s="76"/>
      <c r="C1878" s="76"/>
      <c r="D1878" s="76"/>
      <c r="E1878" s="77"/>
    </row>
    <row r="1879">
      <c r="A1879" s="75"/>
      <c r="B1879" s="76"/>
      <c r="C1879" s="76"/>
      <c r="D1879" s="76"/>
      <c r="E1879" s="77"/>
    </row>
    <row r="1880">
      <c r="A1880" s="75"/>
      <c r="B1880" s="76"/>
      <c r="C1880" s="76"/>
      <c r="D1880" s="76"/>
      <c r="E1880" s="77"/>
    </row>
    <row r="1881">
      <c r="A1881" s="75"/>
      <c r="B1881" s="76"/>
      <c r="C1881" s="76"/>
      <c r="D1881" s="76"/>
      <c r="E1881" s="77"/>
    </row>
    <row r="1882">
      <c r="A1882" s="75"/>
      <c r="B1882" s="76"/>
      <c r="C1882" s="76"/>
      <c r="D1882" s="76"/>
      <c r="E1882" s="77"/>
    </row>
    <row r="1883">
      <c r="A1883" s="75"/>
      <c r="B1883" s="76"/>
      <c r="C1883" s="76"/>
      <c r="D1883" s="76"/>
      <c r="E1883" s="77"/>
    </row>
    <row r="1884">
      <c r="A1884" s="75"/>
      <c r="B1884" s="76"/>
      <c r="C1884" s="76"/>
      <c r="D1884" s="76"/>
      <c r="E1884" s="77"/>
    </row>
    <row r="1885">
      <c r="A1885" s="75"/>
      <c r="B1885" s="76"/>
      <c r="C1885" s="76"/>
      <c r="D1885" s="76"/>
      <c r="E1885" s="77"/>
    </row>
    <row r="1886">
      <c r="A1886" s="75"/>
      <c r="B1886" s="76"/>
      <c r="C1886" s="76"/>
      <c r="D1886" s="76"/>
      <c r="E1886" s="77"/>
    </row>
    <row r="1887">
      <c r="A1887" s="75"/>
      <c r="B1887" s="76"/>
      <c r="C1887" s="76"/>
      <c r="D1887" s="76"/>
      <c r="E1887" s="77"/>
    </row>
    <row r="1888">
      <c r="A1888" s="75"/>
      <c r="B1888" s="76"/>
      <c r="C1888" s="76"/>
      <c r="D1888" s="76"/>
      <c r="E1888" s="77"/>
    </row>
    <row r="1889">
      <c r="A1889" s="75"/>
      <c r="B1889" s="76"/>
      <c r="C1889" s="76"/>
      <c r="D1889" s="76"/>
      <c r="E1889" s="77"/>
    </row>
    <row r="1890">
      <c r="A1890" s="75"/>
      <c r="B1890" s="76"/>
      <c r="C1890" s="76"/>
      <c r="D1890" s="76"/>
      <c r="E1890" s="77"/>
    </row>
    <row r="1891">
      <c r="A1891" s="75"/>
      <c r="B1891" s="76"/>
      <c r="C1891" s="76"/>
      <c r="D1891" s="76"/>
      <c r="E1891" s="77"/>
    </row>
    <row r="1892">
      <c r="A1892" s="75"/>
      <c r="B1892" s="76"/>
      <c r="C1892" s="76"/>
      <c r="D1892" s="76"/>
      <c r="E1892" s="77"/>
    </row>
    <row r="1893">
      <c r="A1893" s="75"/>
      <c r="B1893" s="76"/>
      <c r="C1893" s="76"/>
      <c r="D1893" s="76"/>
      <c r="E1893" s="77"/>
    </row>
    <row r="1894">
      <c r="A1894" s="75"/>
      <c r="B1894" s="76"/>
      <c r="C1894" s="76"/>
      <c r="D1894" s="76"/>
      <c r="E1894" s="77"/>
    </row>
    <row r="1895">
      <c r="A1895" s="75"/>
      <c r="B1895" s="76"/>
      <c r="C1895" s="76"/>
      <c r="D1895" s="76"/>
      <c r="E1895" s="77"/>
    </row>
    <row r="1896">
      <c r="A1896" s="75"/>
      <c r="B1896" s="76"/>
      <c r="C1896" s="76"/>
      <c r="D1896" s="76"/>
      <c r="E1896" s="77"/>
    </row>
    <row r="1897">
      <c r="A1897" s="75"/>
      <c r="B1897" s="76"/>
      <c r="C1897" s="76"/>
      <c r="D1897" s="76"/>
      <c r="E1897" s="77"/>
    </row>
    <row r="1898">
      <c r="A1898" s="75"/>
      <c r="B1898" s="76"/>
      <c r="C1898" s="76"/>
      <c r="D1898" s="76"/>
      <c r="E1898" s="77"/>
    </row>
    <row r="1899">
      <c r="A1899" s="75"/>
      <c r="B1899" s="76"/>
      <c r="C1899" s="76"/>
      <c r="D1899" s="76"/>
      <c r="E1899" s="77"/>
    </row>
    <row r="1900">
      <c r="A1900" s="75"/>
      <c r="B1900" s="76"/>
      <c r="C1900" s="76"/>
      <c r="D1900" s="76"/>
      <c r="E1900" s="77"/>
    </row>
    <row r="1901">
      <c r="A1901" s="75"/>
      <c r="B1901" s="76"/>
      <c r="C1901" s="76"/>
      <c r="D1901" s="76"/>
      <c r="E1901" s="77"/>
    </row>
    <row r="1902">
      <c r="A1902" s="75"/>
      <c r="B1902" s="76"/>
      <c r="C1902" s="76"/>
      <c r="D1902" s="76"/>
      <c r="E1902" s="77"/>
    </row>
    <row r="1903">
      <c r="A1903" s="75"/>
      <c r="B1903" s="76"/>
      <c r="C1903" s="76"/>
      <c r="D1903" s="76"/>
      <c r="E1903" s="77"/>
    </row>
    <row r="1904">
      <c r="A1904" s="75"/>
      <c r="B1904" s="76"/>
      <c r="C1904" s="76"/>
      <c r="D1904" s="76"/>
      <c r="E1904" s="77"/>
    </row>
    <row r="1905">
      <c r="A1905" s="75"/>
      <c r="B1905" s="76"/>
      <c r="C1905" s="76"/>
      <c r="D1905" s="76"/>
      <c r="E1905" s="77"/>
    </row>
    <row r="1906">
      <c r="A1906" s="75"/>
      <c r="B1906" s="76"/>
      <c r="C1906" s="76"/>
      <c r="D1906" s="76"/>
      <c r="E1906" s="77"/>
    </row>
    <row r="1907">
      <c r="A1907" s="75"/>
      <c r="B1907" s="76"/>
      <c r="C1907" s="76"/>
      <c r="D1907" s="76"/>
      <c r="E1907" s="77"/>
    </row>
    <row r="1908">
      <c r="A1908" s="75"/>
      <c r="B1908" s="76"/>
      <c r="C1908" s="76"/>
      <c r="D1908" s="76"/>
      <c r="E1908" s="77"/>
    </row>
    <row r="1909">
      <c r="A1909" s="75"/>
      <c r="B1909" s="76"/>
      <c r="C1909" s="76"/>
      <c r="D1909" s="76"/>
      <c r="E1909" s="77"/>
    </row>
    <row r="1910">
      <c r="A1910" s="75"/>
      <c r="B1910" s="76"/>
      <c r="C1910" s="76"/>
      <c r="D1910" s="76"/>
      <c r="E1910" s="77"/>
    </row>
    <row r="1911">
      <c r="A1911" s="75"/>
      <c r="B1911" s="76"/>
      <c r="C1911" s="76"/>
      <c r="D1911" s="76"/>
      <c r="E1911" s="77"/>
    </row>
    <row r="1912">
      <c r="A1912" s="75"/>
      <c r="B1912" s="76"/>
      <c r="C1912" s="76"/>
      <c r="D1912" s="76"/>
      <c r="E1912" s="77"/>
    </row>
    <row r="1913">
      <c r="A1913" s="75"/>
      <c r="B1913" s="76"/>
      <c r="C1913" s="76"/>
      <c r="D1913" s="76"/>
      <c r="E1913" s="77"/>
    </row>
    <row r="1914">
      <c r="A1914" s="75"/>
      <c r="B1914" s="76"/>
      <c r="C1914" s="76"/>
      <c r="D1914" s="76"/>
      <c r="E1914" s="77"/>
    </row>
    <row r="1915">
      <c r="A1915" s="75"/>
      <c r="B1915" s="76"/>
      <c r="C1915" s="76"/>
      <c r="D1915" s="76"/>
      <c r="E1915" s="77"/>
    </row>
    <row r="1916">
      <c r="A1916" s="75"/>
      <c r="B1916" s="76"/>
      <c r="C1916" s="76"/>
      <c r="D1916" s="76"/>
      <c r="E1916" s="77"/>
    </row>
    <row r="1917">
      <c r="A1917" s="75"/>
      <c r="B1917" s="76"/>
      <c r="C1917" s="76"/>
      <c r="D1917" s="76"/>
      <c r="E1917" s="77"/>
    </row>
    <row r="1918">
      <c r="A1918" s="75"/>
      <c r="B1918" s="76"/>
      <c r="C1918" s="76"/>
      <c r="D1918" s="76"/>
      <c r="E1918" s="77"/>
    </row>
    <row r="1919">
      <c r="A1919" s="75"/>
      <c r="B1919" s="76"/>
      <c r="C1919" s="76"/>
      <c r="D1919" s="76"/>
      <c r="E1919" s="77"/>
    </row>
    <row r="1920">
      <c r="A1920" s="75"/>
      <c r="B1920" s="76"/>
      <c r="C1920" s="76"/>
      <c r="D1920" s="76"/>
      <c r="E1920" s="77"/>
    </row>
    <row r="1921">
      <c r="A1921" s="75"/>
      <c r="B1921" s="76"/>
      <c r="C1921" s="76"/>
      <c r="D1921" s="76"/>
      <c r="E1921" s="77"/>
    </row>
    <row r="1922">
      <c r="A1922" s="75"/>
      <c r="B1922" s="76"/>
      <c r="C1922" s="76"/>
      <c r="D1922" s="76"/>
      <c r="E1922" s="77"/>
    </row>
    <row r="1923">
      <c r="A1923" s="75"/>
      <c r="B1923" s="76"/>
      <c r="C1923" s="76"/>
      <c r="D1923" s="76"/>
      <c r="E1923" s="77"/>
    </row>
    <row r="1924">
      <c r="A1924" s="75"/>
      <c r="B1924" s="76"/>
      <c r="C1924" s="76"/>
      <c r="D1924" s="76"/>
      <c r="E1924" s="77"/>
    </row>
    <row r="1925">
      <c r="A1925" s="75"/>
      <c r="B1925" s="76"/>
      <c r="C1925" s="76"/>
      <c r="D1925" s="76"/>
      <c r="E1925" s="77"/>
    </row>
    <row r="1926">
      <c r="A1926" s="75"/>
      <c r="B1926" s="76"/>
      <c r="C1926" s="76"/>
      <c r="D1926" s="76"/>
      <c r="E1926" s="77"/>
    </row>
    <row r="1927">
      <c r="A1927" s="75"/>
      <c r="B1927" s="76"/>
      <c r="C1927" s="76"/>
      <c r="D1927" s="76"/>
      <c r="E1927" s="77"/>
    </row>
    <row r="1928">
      <c r="A1928" s="75"/>
      <c r="B1928" s="76"/>
      <c r="C1928" s="76"/>
      <c r="D1928" s="76"/>
      <c r="E1928" s="77"/>
    </row>
    <row r="1929">
      <c r="A1929" s="75"/>
      <c r="B1929" s="76"/>
      <c r="C1929" s="76"/>
      <c r="D1929" s="76"/>
      <c r="E1929" s="77"/>
    </row>
    <row r="1930">
      <c r="A1930" s="75"/>
      <c r="B1930" s="76"/>
      <c r="C1930" s="76"/>
      <c r="D1930" s="76"/>
      <c r="E1930" s="77"/>
    </row>
    <row r="1931">
      <c r="A1931" s="75"/>
      <c r="B1931" s="76"/>
      <c r="C1931" s="76"/>
      <c r="D1931" s="76"/>
      <c r="E1931" s="77"/>
    </row>
    <row r="1932">
      <c r="A1932" s="75"/>
      <c r="B1932" s="76"/>
      <c r="C1932" s="76"/>
      <c r="D1932" s="76"/>
      <c r="E1932" s="77"/>
    </row>
    <row r="1933">
      <c r="A1933" s="75"/>
      <c r="B1933" s="76"/>
      <c r="C1933" s="76"/>
      <c r="D1933" s="76"/>
      <c r="E1933" s="77"/>
    </row>
    <row r="1934">
      <c r="A1934" s="75"/>
      <c r="B1934" s="76"/>
      <c r="C1934" s="76"/>
      <c r="D1934" s="76"/>
      <c r="E1934" s="77"/>
    </row>
    <row r="1935">
      <c r="A1935" s="75"/>
      <c r="B1935" s="76"/>
      <c r="C1935" s="76"/>
      <c r="D1935" s="76"/>
      <c r="E1935" s="77"/>
    </row>
    <row r="1936">
      <c r="A1936" s="75"/>
      <c r="B1936" s="76"/>
      <c r="C1936" s="76"/>
      <c r="D1936" s="76"/>
      <c r="E1936" s="77"/>
    </row>
    <row r="1937">
      <c r="A1937" s="75"/>
      <c r="B1937" s="76"/>
      <c r="C1937" s="76"/>
      <c r="D1937" s="76"/>
      <c r="E1937" s="77"/>
    </row>
    <row r="1938">
      <c r="A1938" s="75"/>
      <c r="B1938" s="76"/>
      <c r="C1938" s="76"/>
      <c r="D1938" s="76"/>
      <c r="E1938" s="77"/>
    </row>
    <row r="1939">
      <c r="A1939" s="75"/>
      <c r="B1939" s="76"/>
      <c r="C1939" s="76"/>
      <c r="D1939" s="76"/>
      <c r="E1939" s="77"/>
    </row>
    <row r="1940">
      <c r="A1940" s="75"/>
      <c r="B1940" s="76"/>
      <c r="C1940" s="76"/>
      <c r="D1940" s="76"/>
      <c r="E1940" s="77"/>
    </row>
    <row r="1941">
      <c r="A1941" s="75"/>
      <c r="B1941" s="76"/>
      <c r="C1941" s="76"/>
      <c r="D1941" s="76"/>
      <c r="E1941" s="77"/>
    </row>
    <row r="1942">
      <c r="A1942" s="75"/>
      <c r="B1942" s="76"/>
      <c r="C1942" s="76"/>
      <c r="D1942" s="76"/>
      <c r="E1942" s="77"/>
    </row>
    <row r="1943">
      <c r="A1943" s="75"/>
      <c r="B1943" s="76"/>
      <c r="C1943" s="76"/>
      <c r="D1943" s="76"/>
      <c r="E1943" s="77"/>
    </row>
    <row r="1944">
      <c r="A1944" s="75"/>
      <c r="B1944" s="76"/>
      <c r="C1944" s="76"/>
      <c r="D1944" s="76"/>
      <c r="E1944" s="77"/>
    </row>
    <row r="1945">
      <c r="A1945" s="75"/>
      <c r="B1945" s="76"/>
      <c r="C1945" s="76"/>
      <c r="D1945" s="76"/>
      <c r="E1945" s="77"/>
    </row>
    <row r="1946">
      <c r="A1946" s="75"/>
      <c r="B1946" s="76"/>
      <c r="C1946" s="76"/>
      <c r="D1946" s="76"/>
      <c r="E1946" s="77"/>
    </row>
    <row r="1947">
      <c r="A1947" s="75"/>
      <c r="B1947" s="76"/>
      <c r="C1947" s="76"/>
      <c r="D1947" s="76"/>
      <c r="E1947" s="77"/>
    </row>
    <row r="1948">
      <c r="A1948" s="75"/>
      <c r="B1948" s="76"/>
      <c r="C1948" s="76"/>
      <c r="D1948" s="76"/>
      <c r="E1948" s="77"/>
    </row>
    <row r="1949">
      <c r="A1949" s="75"/>
      <c r="B1949" s="76"/>
      <c r="C1949" s="76"/>
      <c r="D1949" s="76"/>
      <c r="E1949" s="77"/>
    </row>
    <row r="1950">
      <c r="A1950" s="75"/>
      <c r="B1950" s="76"/>
      <c r="C1950" s="76"/>
      <c r="D1950" s="76"/>
      <c r="E1950" s="77"/>
    </row>
    <row r="1951">
      <c r="A1951" s="75"/>
      <c r="B1951" s="76"/>
      <c r="C1951" s="76"/>
      <c r="D1951" s="76"/>
      <c r="E1951" s="77"/>
    </row>
    <row r="1952">
      <c r="A1952" s="75"/>
      <c r="B1952" s="76"/>
      <c r="C1952" s="76"/>
      <c r="D1952" s="76"/>
      <c r="E1952" s="77"/>
    </row>
    <row r="1953">
      <c r="A1953" s="75"/>
      <c r="B1953" s="76"/>
      <c r="C1953" s="76"/>
      <c r="D1953" s="76"/>
      <c r="E1953" s="77"/>
    </row>
    <row r="1954">
      <c r="A1954" s="75"/>
      <c r="B1954" s="76"/>
      <c r="C1954" s="76"/>
      <c r="D1954" s="76"/>
      <c r="E1954" s="77"/>
    </row>
    <row r="1955">
      <c r="A1955" s="75"/>
      <c r="B1955" s="76"/>
      <c r="C1955" s="76"/>
      <c r="D1955" s="76"/>
      <c r="E1955" s="77"/>
    </row>
    <row r="1956">
      <c r="A1956" s="75"/>
      <c r="B1956" s="76"/>
      <c r="C1956" s="76"/>
      <c r="D1956" s="76"/>
      <c r="E1956" s="77"/>
    </row>
    <row r="1957">
      <c r="A1957" s="75"/>
      <c r="B1957" s="76"/>
      <c r="C1957" s="76"/>
      <c r="D1957" s="76"/>
      <c r="E1957" s="77"/>
    </row>
    <row r="1958">
      <c r="A1958" s="75"/>
      <c r="B1958" s="76"/>
      <c r="C1958" s="76"/>
      <c r="D1958" s="76"/>
      <c r="E1958" s="77"/>
    </row>
    <row r="1959">
      <c r="A1959" s="75"/>
      <c r="B1959" s="76"/>
      <c r="C1959" s="76"/>
      <c r="D1959" s="76"/>
      <c r="E1959" s="77"/>
    </row>
    <row r="1960">
      <c r="A1960" s="75"/>
      <c r="B1960" s="76"/>
      <c r="C1960" s="76"/>
      <c r="D1960" s="76"/>
      <c r="E1960" s="77"/>
    </row>
    <row r="1961">
      <c r="A1961" s="75"/>
      <c r="B1961" s="76"/>
      <c r="C1961" s="76"/>
      <c r="D1961" s="76"/>
      <c r="E1961" s="77"/>
    </row>
    <row r="1962">
      <c r="A1962" s="75"/>
      <c r="B1962" s="76"/>
      <c r="C1962" s="76"/>
      <c r="D1962" s="76"/>
      <c r="E1962" s="77"/>
    </row>
    <row r="1963">
      <c r="A1963" s="75"/>
      <c r="B1963" s="76"/>
      <c r="C1963" s="76"/>
      <c r="D1963" s="76"/>
      <c r="E1963" s="77"/>
    </row>
    <row r="1964">
      <c r="A1964" s="75"/>
      <c r="B1964" s="76"/>
      <c r="C1964" s="76"/>
      <c r="D1964" s="76"/>
      <c r="E1964" s="77"/>
    </row>
    <row r="1965">
      <c r="A1965" s="75"/>
      <c r="B1965" s="76"/>
      <c r="C1965" s="76"/>
      <c r="D1965" s="76"/>
      <c r="E1965" s="77"/>
    </row>
    <row r="1966">
      <c r="A1966" s="75"/>
      <c r="B1966" s="76"/>
      <c r="C1966" s="76"/>
      <c r="D1966" s="76"/>
      <c r="E1966" s="77"/>
    </row>
    <row r="1967">
      <c r="A1967" s="75"/>
      <c r="B1967" s="76"/>
      <c r="C1967" s="76"/>
      <c r="D1967" s="76"/>
      <c r="E1967" s="77"/>
    </row>
    <row r="1968">
      <c r="A1968" s="75"/>
      <c r="B1968" s="76"/>
      <c r="C1968" s="76"/>
      <c r="D1968" s="76"/>
      <c r="E1968" s="77"/>
    </row>
    <row r="1969">
      <c r="A1969" s="75"/>
      <c r="B1969" s="76"/>
      <c r="C1969" s="76"/>
      <c r="D1969" s="76"/>
      <c r="E1969" s="77"/>
    </row>
    <row r="1970">
      <c r="A1970" s="75"/>
      <c r="B1970" s="76"/>
      <c r="C1970" s="76"/>
      <c r="D1970" s="76"/>
      <c r="E1970" s="77"/>
    </row>
    <row r="1971">
      <c r="A1971" s="75"/>
      <c r="B1971" s="76"/>
      <c r="C1971" s="76"/>
      <c r="D1971" s="76"/>
      <c r="E1971" s="77"/>
    </row>
    <row r="1972">
      <c r="A1972" s="75"/>
      <c r="B1972" s="76"/>
      <c r="C1972" s="76"/>
      <c r="D1972" s="76"/>
      <c r="E1972" s="77"/>
    </row>
    <row r="1973">
      <c r="A1973" s="75"/>
      <c r="B1973" s="76"/>
      <c r="C1973" s="76"/>
      <c r="D1973" s="76"/>
      <c r="E1973" s="77"/>
    </row>
    <row r="1974">
      <c r="A1974" s="75"/>
      <c r="B1974" s="76"/>
      <c r="C1974" s="76"/>
      <c r="D1974" s="76"/>
      <c r="E1974" s="77"/>
    </row>
    <row r="1975">
      <c r="A1975" s="75"/>
      <c r="B1975" s="76"/>
      <c r="C1975" s="76"/>
      <c r="D1975" s="76"/>
      <c r="E1975" s="77"/>
    </row>
    <row r="1976">
      <c r="A1976" s="75"/>
      <c r="B1976" s="76"/>
      <c r="C1976" s="76"/>
      <c r="D1976" s="76"/>
      <c r="E1976" s="77"/>
    </row>
    <row r="1977">
      <c r="A1977" s="75"/>
      <c r="B1977" s="76"/>
      <c r="C1977" s="76"/>
      <c r="D1977" s="76"/>
      <c r="E1977" s="77"/>
    </row>
    <row r="1978">
      <c r="A1978" s="75"/>
      <c r="B1978" s="76"/>
      <c r="C1978" s="76"/>
      <c r="D1978" s="76"/>
      <c r="E1978" s="77"/>
    </row>
    <row r="1979">
      <c r="A1979" s="75"/>
      <c r="B1979" s="76"/>
      <c r="C1979" s="76"/>
      <c r="D1979" s="76"/>
      <c r="E1979" s="77"/>
    </row>
    <row r="1980">
      <c r="A1980" s="75"/>
      <c r="B1980" s="76"/>
      <c r="C1980" s="76"/>
      <c r="D1980" s="76"/>
      <c r="E1980" s="77"/>
    </row>
    <row r="1981">
      <c r="A1981" s="75"/>
      <c r="B1981" s="76"/>
      <c r="C1981" s="76"/>
      <c r="D1981" s="76"/>
      <c r="E1981" s="77"/>
    </row>
    <row r="1982">
      <c r="A1982" s="75"/>
      <c r="B1982" s="76"/>
      <c r="C1982" s="76"/>
      <c r="D1982" s="76"/>
      <c r="E1982" s="77"/>
    </row>
    <row r="1983">
      <c r="A1983" s="75"/>
      <c r="B1983" s="76"/>
      <c r="C1983" s="76"/>
      <c r="D1983" s="76"/>
      <c r="E1983" s="77"/>
    </row>
    <row r="1984">
      <c r="A1984" s="75"/>
      <c r="B1984" s="76"/>
      <c r="C1984" s="76"/>
      <c r="D1984" s="76"/>
      <c r="E1984" s="77"/>
    </row>
    <row r="1985">
      <c r="A1985" s="75"/>
      <c r="B1985" s="76"/>
      <c r="C1985" s="76"/>
      <c r="D1985" s="76"/>
      <c r="E1985" s="77"/>
    </row>
    <row r="1986">
      <c r="A1986" s="75"/>
      <c r="B1986" s="76"/>
      <c r="C1986" s="76"/>
      <c r="D1986" s="76"/>
      <c r="E1986" s="77"/>
    </row>
    <row r="1987">
      <c r="A1987" s="75"/>
      <c r="B1987" s="76"/>
      <c r="C1987" s="76"/>
      <c r="D1987" s="76"/>
      <c r="E1987" s="77"/>
    </row>
    <row r="1988">
      <c r="A1988" s="75"/>
      <c r="B1988" s="76"/>
      <c r="C1988" s="76"/>
      <c r="D1988" s="76"/>
      <c r="E1988" s="77"/>
    </row>
    <row r="1989">
      <c r="A1989" s="75"/>
      <c r="B1989" s="76"/>
      <c r="C1989" s="76"/>
      <c r="D1989" s="76"/>
      <c r="E1989" s="77"/>
    </row>
    <row r="1990">
      <c r="A1990" s="75"/>
      <c r="B1990" s="76"/>
      <c r="C1990" s="76"/>
      <c r="D1990" s="76"/>
      <c r="E1990" s="77"/>
    </row>
    <row r="1991">
      <c r="A1991" s="75"/>
      <c r="B1991" s="76"/>
      <c r="C1991" s="76"/>
      <c r="D1991" s="76"/>
      <c r="E1991" s="77"/>
    </row>
    <row r="1992">
      <c r="A1992" s="75"/>
      <c r="B1992" s="76"/>
      <c r="C1992" s="76"/>
      <c r="D1992" s="76"/>
      <c r="E1992" s="77"/>
    </row>
    <row r="1993">
      <c r="A1993" s="75"/>
      <c r="B1993" s="76"/>
      <c r="C1993" s="76"/>
      <c r="D1993" s="76"/>
      <c r="E1993" s="77"/>
    </row>
    <row r="1994">
      <c r="A1994" s="75"/>
      <c r="B1994" s="76"/>
      <c r="C1994" s="76"/>
      <c r="D1994" s="76"/>
      <c r="E1994" s="77"/>
    </row>
    <row r="1995">
      <c r="A1995" s="75"/>
      <c r="B1995" s="76"/>
      <c r="C1995" s="76"/>
      <c r="D1995" s="76"/>
      <c r="E1995" s="77"/>
    </row>
    <row r="1996">
      <c r="A1996" s="75"/>
      <c r="B1996" s="76"/>
      <c r="C1996" s="76"/>
      <c r="D1996" s="76"/>
      <c r="E1996" s="77"/>
    </row>
    <row r="1997">
      <c r="A1997" s="75"/>
      <c r="B1997" s="76"/>
      <c r="C1997" s="76"/>
      <c r="D1997" s="76"/>
      <c r="E1997" s="77"/>
    </row>
    <row r="1998">
      <c r="A1998" s="75"/>
      <c r="B1998" s="76"/>
      <c r="C1998" s="76"/>
      <c r="D1998" s="76"/>
      <c r="E1998" s="77"/>
    </row>
    <row r="1999">
      <c r="A1999" s="75"/>
      <c r="B1999" s="76"/>
      <c r="C1999" s="76"/>
      <c r="D1999" s="76"/>
      <c r="E1999" s="77"/>
    </row>
    <row r="2000">
      <c r="A2000" s="75"/>
      <c r="B2000" s="76"/>
      <c r="C2000" s="76"/>
      <c r="D2000" s="76"/>
      <c r="E2000" s="77"/>
    </row>
    <row r="2001">
      <c r="A2001" s="75"/>
      <c r="B2001" s="76"/>
      <c r="C2001" s="76"/>
      <c r="D2001" s="76"/>
      <c r="E2001" s="77"/>
    </row>
    <row r="2002">
      <c r="A2002" s="75"/>
      <c r="B2002" s="76"/>
      <c r="C2002" s="76"/>
      <c r="D2002" s="76"/>
      <c r="E2002" s="77"/>
    </row>
    <row r="2003">
      <c r="A2003" s="75"/>
      <c r="B2003" s="76"/>
      <c r="C2003" s="76"/>
      <c r="D2003" s="76"/>
      <c r="E2003" s="77"/>
    </row>
    <row r="2004">
      <c r="A2004" s="75"/>
      <c r="B2004" s="76"/>
      <c r="C2004" s="76"/>
      <c r="D2004" s="76"/>
      <c r="E2004" s="77"/>
    </row>
    <row r="2005">
      <c r="A2005" s="75"/>
      <c r="B2005" s="76"/>
      <c r="C2005" s="76"/>
      <c r="D2005" s="76"/>
      <c r="E2005" s="77"/>
    </row>
    <row r="2006">
      <c r="A2006" s="75"/>
      <c r="B2006" s="76"/>
      <c r="C2006" s="76"/>
      <c r="D2006" s="76"/>
      <c r="E2006" s="77"/>
    </row>
    <row r="2007">
      <c r="A2007" s="75"/>
      <c r="B2007" s="76"/>
      <c r="C2007" s="76"/>
      <c r="D2007" s="76"/>
      <c r="E2007" s="77"/>
    </row>
    <row r="2008">
      <c r="A2008" s="75"/>
      <c r="B2008" s="76"/>
      <c r="C2008" s="76"/>
      <c r="D2008" s="76"/>
      <c r="E2008" s="77"/>
    </row>
    <row r="2009">
      <c r="A2009" s="75"/>
      <c r="B2009" s="76"/>
      <c r="C2009" s="76"/>
      <c r="D2009" s="76"/>
      <c r="E2009" s="77"/>
    </row>
    <row r="2010">
      <c r="A2010" s="75"/>
      <c r="B2010" s="76"/>
      <c r="C2010" s="76"/>
      <c r="D2010" s="76"/>
      <c r="E2010" s="77"/>
    </row>
    <row r="2011">
      <c r="A2011" s="75"/>
      <c r="B2011" s="76"/>
      <c r="C2011" s="76"/>
      <c r="D2011" s="76"/>
      <c r="E2011" s="77"/>
    </row>
    <row r="2012">
      <c r="A2012" s="75"/>
      <c r="B2012" s="76"/>
      <c r="C2012" s="76"/>
      <c r="D2012" s="76"/>
      <c r="E2012" s="77"/>
    </row>
    <row r="2013">
      <c r="A2013" s="75"/>
      <c r="B2013" s="76"/>
      <c r="C2013" s="76"/>
      <c r="D2013" s="76"/>
      <c r="E2013" s="77"/>
    </row>
    <row r="2014">
      <c r="A2014" s="75"/>
      <c r="B2014" s="76"/>
      <c r="C2014" s="76"/>
      <c r="D2014" s="76"/>
      <c r="E2014" s="77"/>
    </row>
    <row r="2015">
      <c r="A2015" s="75"/>
      <c r="B2015" s="76"/>
      <c r="C2015" s="76"/>
      <c r="D2015" s="76"/>
      <c r="E2015" s="77"/>
    </row>
    <row r="2016">
      <c r="A2016" s="75"/>
      <c r="B2016" s="76"/>
      <c r="C2016" s="76"/>
      <c r="D2016" s="76"/>
      <c r="E2016" s="77"/>
    </row>
    <row r="2017">
      <c r="A2017" s="75"/>
      <c r="B2017" s="76"/>
      <c r="C2017" s="76"/>
      <c r="D2017" s="76"/>
      <c r="E2017" s="77"/>
    </row>
    <row r="2018">
      <c r="A2018" s="75"/>
      <c r="B2018" s="76"/>
      <c r="C2018" s="76"/>
      <c r="D2018" s="76"/>
      <c r="E2018" s="77"/>
    </row>
    <row r="2019">
      <c r="A2019" s="75"/>
      <c r="B2019" s="76"/>
      <c r="C2019" s="76"/>
      <c r="D2019" s="76"/>
      <c r="E2019" s="77"/>
    </row>
  </sheetData>
  <mergeCells count="1">
    <mergeCell ref="A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hidden="1" min="1" max="1" width="19.71"/>
    <col customWidth="1" min="2" max="4" width="15.29"/>
    <col customWidth="1" min="5" max="5" width="30.71"/>
    <col customWidth="1" min="6" max="6" width="15.57"/>
    <col customWidth="1" min="7" max="7" width="37.29"/>
    <col customWidth="1" min="8" max="8" width="39.29"/>
    <col customWidth="1" min="11" max="11" width="15.57"/>
    <col customWidth="1" min="18" max="23" width="9.71"/>
    <col customWidth="1" min="28" max="29" width="19.71"/>
    <col customWidth="1" min="30" max="30" width="20.29"/>
  </cols>
  <sheetData>
    <row r="1">
      <c r="A1" s="78" t="s">
        <v>202</v>
      </c>
      <c r="B1" s="78" t="s">
        <v>203</v>
      </c>
      <c r="C1" s="78" t="s">
        <v>203</v>
      </c>
      <c r="D1" s="78" t="s">
        <v>204</v>
      </c>
      <c r="E1" s="79" t="s">
        <v>10</v>
      </c>
      <c r="F1" s="79" t="s">
        <v>205</v>
      </c>
      <c r="G1" s="79" t="s">
        <v>206</v>
      </c>
      <c r="H1" s="80"/>
      <c r="I1" s="81"/>
      <c r="J1" s="82"/>
      <c r="K1" s="79" t="s">
        <v>205</v>
      </c>
      <c r="L1" s="79" t="s">
        <v>207</v>
      </c>
      <c r="M1" s="79" t="s">
        <v>208</v>
      </c>
      <c r="N1" s="79" t="s">
        <v>209</v>
      </c>
      <c r="O1" s="79" t="s">
        <v>206</v>
      </c>
      <c r="P1" s="83"/>
      <c r="Q1" s="84"/>
      <c r="R1" s="85"/>
      <c r="S1" s="85"/>
      <c r="T1" s="85"/>
      <c r="U1" s="85"/>
      <c r="V1" s="85"/>
      <c r="W1" s="86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</row>
    <row r="2">
      <c r="A2" s="87"/>
      <c r="B2" s="88" t="s">
        <v>210</v>
      </c>
      <c r="C2" s="88" t="s">
        <v>211</v>
      </c>
      <c r="D2" s="89"/>
      <c r="E2" s="89"/>
      <c r="F2" s="89"/>
      <c r="G2" s="89"/>
      <c r="H2" s="90"/>
      <c r="I2" s="91"/>
      <c r="J2" s="91"/>
      <c r="K2" s="92"/>
      <c r="L2" s="93"/>
      <c r="M2" s="93"/>
      <c r="N2" s="93"/>
      <c r="O2" s="93"/>
      <c r="P2" s="83"/>
      <c r="Q2" s="82"/>
      <c r="W2" s="94"/>
      <c r="AB2" s="95"/>
      <c r="AC2" s="86"/>
      <c r="AD2" s="95"/>
      <c r="AE2" s="86"/>
      <c r="AF2" s="91"/>
      <c r="AG2" s="91"/>
      <c r="AH2" s="91"/>
      <c r="AI2" s="91"/>
      <c r="AJ2" s="91"/>
      <c r="AK2" s="91"/>
      <c r="AL2" s="91"/>
      <c r="AM2" s="91"/>
      <c r="AN2" s="91"/>
    </row>
    <row r="3">
      <c r="A3" s="96" t="s">
        <v>212</v>
      </c>
      <c r="B3" s="97">
        <v>1.0</v>
      </c>
      <c r="C3" s="98">
        <v>25.0</v>
      </c>
      <c r="D3" s="99" t="s">
        <v>212</v>
      </c>
      <c r="E3" s="99" t="s">
        <v>213</v>
      </c>
      <c r="F3" s="99" t="s">
        <v>25</v>
      </c>
      <c r="G3" s="100">
        <v>140.0</v>
      </c>
      <c r="H3" s="101"/>
      <c r="I3" s="91"/>
      <c r="J3" s="91"/>
      <c r="K3" s="102" t="s">
        <v>25</v>
      </c>
      <c r="L3" s="103" t="s">
        <v>214</v>
      </c>
      <c r="M3" s="103" t="s">
        <v>210</v>
      </c>
      <c r="N3" s="103" t="s">
        <v>215</v>
      </c>
      <c r="O3" s="103" t="s">
        <v>216</v>
      </c>
      <c r="P3" s="83"/>
      <c r="Q3" s="82"/>
      <c r="R3" s="104"/>
      <c r="S3" s="86"/>
      <c r="T3" s="104"/>
      <c r="U3" s="86"/>
      <c r="V3" s="104"/>
      <c r="W3" s="86"/>
      <c r="X3" s="104"/>
      <c r="Y3" s="86"/>
      <c r="Z3" s="104"/>
      <c r="AA3" s="86"/>
      <c r="AB3" s="104"/>
      <c r="AC3" s="86"/>
      <c r="AD3" s="104"/>
      <c r="AE3" s="86"/>
      <c r="AF3" s="91"/>
      <c r="AG3" s="91"/>
      <c r="AH3" s="91"/>
      <c r="AI3" s="91"/>
      <c r="AJ3" s="91"/>
      <c r="AK3" s="91"/>
      <c r="AL3" s="91"/>
      <c r="AM3" s="91"/>
      <c r="AN3" s="91"/>
    </row>
    <row r="4">
      <c r="A4" s="96" t="s">
        <v>212</v>
      </c>
      <c r="B4" s="105">
        <v>1.0</v>
      </c>
      <c r="C4" s="106">
        <v>25.0</v>
      </c>
      <c r="D4" s="107" t="s">
        <v>212</v>
      </c>
      <c r="E4" s="107" t="s">
        <v>28</v>
      </c>
      <c r="F4" s="107" t="s">
        <v>25</v>
      </c>
      <c r="G4" s="108">
        <v>110.0</v>
      </c>
      <c r="H4" s="101"/>
      <c r="I4" s="91"/>
      <c r="J4" s="91"/>
      <c r="K4" s="109" t="s">
        <v>25</v>
      </c>
      <c r="L4" s="110" t="s">
        <v>214</v>
      </c>
      <c r="M4" s="110" t="s">
        <v>211</v>
      </c>
      <c r="N4" s="110" t="s">
        <v>215</v>
      </c>
      <c r="O4" s="110" t="s">
        <v>216</v>
      </c>
      <c r="P4" s="83"/>
      <c r="Q4" s="82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91"/>
      <c r="AG4" s="91"/>
      <c r="AH4" s="91"/>
      <c r="AI4" s="91"/>
      <c r="AJ4" s="91"/>
      <c r="AK4" s="91"/>
      <c r="AL4" s="91"/>
      <c r="AM4" s="91"/>
      <c r="AN4" s="91"/>
    </row>
    <row r="5">
      <c r="A5" s="96" t="s">
        <v>212</v>
      </c>
      <c r="B5" s="105">
        <v>1.0</v>
      </c>
      <c r="C5" s="106">
        <v>25.0</v>
      </c>
      <c r="D5" s="107" t="s">
        <v>212</v>
      </c>
      <c r="E5" s="112" t="s">
        <v>217</v>
      </c>
      <c r="F5" s="112" t="s">
        <v>25</v>
      </c>
      <c r="G5" s="108">
        <v>140.0</v>
      </c>
      <c r="H5" s="101"/>
      <c r="I5" s="91"/>
      <c r="J5" s="91"/>
      <c r="K5" s="109" t="s">
        <v>25</v>
      </c>
      <c r="L5" s="110" t="s">
        <v>164</v>
      </c>
      <c r="M5" s="110" t="s">
        <v>210</v>
      </c>
      <c r="N5" s="110" t="s">
        <v>215</v>
      </c>
      <c r="O5" s="110" t="s">
        <v>216</v>
      </c>
      <c r="P5" s="83"/>
      <c r="Q5" s="82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91"/>
      <c r="AG5" s="91"/>
      <c r="AH5" s="91"/>
      <c r="AI5" s="91"/>
      <c r="AJ5" s="91"/>
      <c r="AK5" s="91"/>
      <c r="AL5" s="91"/>
      <c r="AM5" s="91"/>
      <c r="AN5" s="91"/>
    </row>
    <row r="6">
      <c r="A6" s="96" t="s">
        <v>212</v>
      </c>
      <c r="B6" s="105">
        <v>1.0</v>
      </c>
      <c r="C6" s="106">
        <v>25.0</v>
      </c>
      <c r="D6" s="107" t="s">
        <v>212</v>
      </c>
      <c r="E6" s="112" t="s">
        <v>218</v>
      </c>
      <c r="F6" s="112" t="s">
        <v>25</v>
      </c>
      <c r="G6" s="108">
        <v>110.0</v>
      </c>
      <c r="H6" s="101"/>
      <c r="I6" s="91"/>
      <c r="J6" s="91"/>
      <c r="K6" s="109" t="s">
        <v>25</v>
      </c>
      <c r="L6" s="110" t="s">
        <v>164</v>
      </c>
      <c r="M6" s="110" t="s">
        <v>211</v>
      </c>
      <c r="N6" s="110" t="s">
        <v>215</v>
      </c>
      <c r="O6" s="110" t="s">
        <v>216</v>
      </c>
      <c r="P6" s="83"/>
      <c r="Q6" s="82"/>
      <c r="R6" s="113"/>
      <c r="S6" s="113"/>
      <c r="T6" s="113"/>
      <c r="U6" s="113"/>
      <c r="V6" s="114"/>
      <c r="W6" s="114"/>
      <c r="X6" s="114"/>
      <c r="Y6" s="114"/>
      <c r="Z6" s="114"/>
      <c r="AA6" s="113"/>
      <c r="AB6" s="114"/>
      <c r="AC6" s="114"/>
      <c r="AD6" s="114"/>
      <c r="AE6" s="114"/>
      <c r="AF6" s="91"/>
      <c r="AG6" s="91"/>
      <c r="AH6" s="91"/>
      <c r="AI6" s="91"/>
      <c r="AJ6" s="91"/>
      <c r="AK6" s="91"/>
      <c r="AL6" s="91"/>
      <c r="AM6" s="91"/>
      <c r="AN6" s="91"/>
    </row>
    <row r="7">
      <c r="A7" s="115" t="s">
        <v>219</v>
      </c>
      <c r="B7" s="105">
        <v>1.0</v>
      </c>
      <c r="C7" s="106">
        <v>25.0</v>
      </c>
      <c r="D7" s="107" t="s">
        <v>212</v>
      </c>
      <c r="E7" s="112" t="s">
        <v>60</v>
      </c>
      <c r="F7" s="112" t="s">
        <v>25</v>
      </c>
      <c r="G7" s="108" t="s">
        <v>66</v>
      </c>
      <c r="H7" s="116"/>
      <c r="I7" s="117"/>
      <c r="J7" s="117"/>
      <c r="K7" s="109" t="s">
        <v>25</v>
      </c>
      <c r="L7" s="110" t="s">
        <v>220</v>
      </c>
      <c r="M7" s="110" t="s">
        <v>210</v>
      </c>
      <c r="N7" s="110" t="s">
        <v>215</v>
      </c>
      <c r="O7" s="110" t="s">
        <v>216</v>
      </c>
      <c r="P7" s="83"/>
      <c r="Q7" s="83"/>
      <c r="R7" s="117"/>
      <c r="S7" s="117"/>
      <c r="T7" s="117"/>
      <c r="U7" s="118"/>
      <c r="V7" s="119"/>
      <c r="W7" s="119"/>
      <c r="X7" s="120"/>
      <c r="Y7" s="120"/>
      <c r="Z7" s="121"/>
      <c r="AA7" s="116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</row>
    <row r="8">
      <c r="A8" s="115" t="s">
        <v>219</v>
      </c>
      <c r="B8" s="122">
        <v>1.0</v>
      </c>
      <c r="C8" s="123">
        <v>18.0</v>
      </c>
      <c r="D8" s="124" t="s">
        <v>221</v>
      </c>
      <c r="E8" s="124" t="s">
        <v>104</v>
      </c>
      <c r="F8" s="124" t="s">
        <v>25</v>
      </c>
      <c r="G8" s="125">
        <v>200.0</v>
      </c>
      <c r="H8" s="116"/>
      <c r="I8" s="117"/>
      <c r="J8" s="126"/>
      <c r="K8" s="109" t="s">
        <v>25</v>
      </c>
      <c r="L8" s="110" t="s">
        <v>220</v>
      </c>
      <c r="M8" s="110" t="s">
        <v>211</v>
      </c>
      <c r="N8" s="110" t="s">
        <v>215</v>
      </c>
      <c r="O8" s="110" t="s">
        <v>216</v>
      </c>
      <c r="P8" s="117"/>
      <c r="Q8" s="117"/>
      <c r="R8" s="117"/>
      <c r="S8" s="117"/>
      <c r="T8" s="117"/>
      <c r="U8" s="118"/>
      <c r="V8" s="121"/>
      <c r="W8" s="121"/>
      <c r="X8" s="121"/>
      <c r="Y8" s="121"/>
      <c r="Z8" s="121"/>
      <c r="AA8" s="116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</row>
    <row r="9">
      <c r="A9" s="115" t="s">
        <v>219</v>
      </c>
      <c r="B9" s="122">
        <v>1.0</v>
      </c>
      <c r="C9" s="123">
        <v>18.0</v>
      </c>
      <c r="D9" s="124" t="s">
        <v>221</v>
      </c>
      <c r="E9" s="124" t="s">
        <v>58</v>
      </c>
      <c r="F9" s="124" t="s">
        <v>25</v>
      </c>
      <c r="G9" s="125">
        <v>185.0</v>
      </c>
      <c r="H9" s="116"/>
      <c r="I9" s="117"/>
      <c r="J9" s="117"/>
      <c r="K9" s="109" t="s">
        <v>25</v>
      </c>
      <c r="L9" s="110" t="s">
        <v>214</v>
      </c>
      <c r="M9" s="110" t="s">
        <v>210</v>
      </c>
      <c r="N9" s="110" t="s">
        <v>222</v>
      </c>
      <c r="O9" s="110" t="s">
        <v>216</v>
      </c>
      <c r="P9" s="117"/>
      <c r="Q9" s="117"/>
      <c r="R9" s="117"/>
      <c r="S9" s="117"/>
      <c r="T9" s="117"/>
      <c r="U9" s="117"/>
      <c r="V9" s="127"/>
      <c r="W9" s="127"/>
      <c r="X9" s="127"/>
      <c r="Y9" s="127"/>
      <c r="Z9" s="12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</row>
    <row r="10">
      <c r="A10" s="128" t="s">
        <v>116</v>
      </c>
      <c r="B10" s="122">
        <v>19.0</v>
      </c>
      <c r="C10" s="123">
        <v>25.0</v>
      </c>
      <c r="D10" s="124" t="s">
        <v>221</v>
      </c>
      <c r="E10" s="124" t="s">
        <v>88</v>
      </c>
      <c r="F10" s="124" t="s">
        <v>25</v>
      </c>
      <c r="G10" s="125">
        <v>250.0</v>
      </c>
      <c r="H10" s="116"/>
      <c r="I10" s="117"/>
      <c r="J10" s="117"/>
      <c r="K10" s="109" t="s">
        <v>25</v>
      </c>
      <c r="L10" s="110" t="s">
        <v>214</v>
      </c>
      <c r="M10" s="110" t="s">
        <v>211</v>
      </c>
      <c r="N10" s="110" t="s">
        <v>222</v>
      </c>
      <c r="O10" s="110" t="s">
        <v>216</v>
      </c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</row>
    <row r="11">
      <c r="A11" s="128" t="s">
        <v>116</v>
      </c>
      <c r="B11" s="122">
        <v>1.0</v>
      </c>
      <c r="C11" s="123">
        <v>25.0</v>
      </c>
      <c r="D11" s="124" t="s">
        <v>223</v>
      </c>
      <c r="E11" s="124" t="s">
        <v>45</v>
      </c>
      <c r="F11" s="124" t="s">
        <v>25</v>
      </c>
      <c r="G11" s="129">
        <v>140.0</v>
      </c>
      <c r="H11" s="116"/>
      <c r="I11" s="117"/>
      <c r="J11" s="117"/>
      <c r="K11" s="109" t="s">
        <v>25</v>
      </c>
      <c r="L11" s="110" t="s">
        <v>164</v>
      </c>
      <c r="M11" s="110" t="s">
        <v>210</v>
      </c>
      <c r="N11" s="110" t="s">
        <v>222</v>
      </c>
      <c r="O11" s="110" t="s">
        <v>216</v>
      </c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</row>
    <row r="12">
      <c r="A12" s="128" t="s">
        <v>116</v>
      </c>
      <c r="B12" s="130">
        <v>1.0</v>
      </c>
      <c r="C12" s="131">
        <v>18.0</v>
      </c>
      <c r="D12" s="132" t="s">
        <v>221</v>
      </c>
      <c r="E12" s="132" t="s">
        <v>115</v>
      </c>
      <c r="F12" s="132" t="s">
        <v>25</v>
      </c>
      <c r="G12" s="133">
        <v>170.0</v>
      </c>
      <c r="H12" s="116"/>
      <c r="I12" s="117"/>
      <c r="J12" s="117"/>
      <c r="K12" s="109" t="s">
        <v>25</v>
      </c>
      <c r="L12" s="110" t="s">
        <v>164</v>
      </c>
      <c r="M12" s="110" t="s">
        <v>211</v>
      </c>
      <c r="N12" s="110" t="s">
        <v>222</v>
      </c>
      <c r="O12" s="110" t="s">
        <v>216</v>
      </c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</row>
    <row r="13">
      <c r="A13" s="134" t="s">
        <v>123</v>
      </c>
      <c r="B13" s="130">
        <v>19.0</v>
      </c>
      <c r="C13" s="131">
        <v>25.0</v>
      </c>
      <c r="D13" s="132" t="s">
        <v>221</v>
      </c>
      <c r="E13" s="132" t="s">
        <v>115</v>
      </c>
      <c r="F13" s="132" t="s">
        <v>25</v>
      </c>
      <c r="G13" s="135">
        <v>250.0</v>
      </c>
      <c r="H13" s="116"/>
      <c r="I13" s="117"/>
      <c r="J13" s="117"/>
      <c r="K13" s="109" t="s">
        <v>25</v>
      </c>
      <c r="L13" s="110" t="s">
        <v>220</v>
      </c>
      <c r="M13" s="110" t="s">
        <v>210</v>
      </c>
      <c r="N13" s="110" t="s">
        <v>222</v>
      </c>
      <c r="O13" s="110" t="s">
        <v>216</v>
      </c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</row>
    <row r="14">
      <c r="A14" s="134" t="s">
        <v>123</v>
      </c>
      <c r="B14" s="130">
        <v>26.0</v>
      </c>
      <c r="C14" s="131">
        <v>25.0</v>
      </c>
      <c r="D14" s="132" t="s">
        <v>221</v>
      </c>
      <c r="E14" s="132" t="s">
        <v>115</v>
      </c>
      <c r="F14" s="132" t="s">
        <v>25</v>
      </c>
      <c r="G14" s="135" t="s">
        <v>66</v>
      </c>
      <c r="H14" s="116"/>
      <c r="I14" s="117"/>
      <c r="J14" s="117"/>
      <c r="K14" s="109" t="s">
        <v>25</v>
      </c>
      <c r="L14" s="110" t="s">
        <v>220</v>
      </c>
      <c r="M14" s="110" t="s">
        <v>211</v>
      </c>
      <c r="N14" s="110" t="s">
        <v>222</v>
      </c>
      <c r="O14" s="110" t="s">
        <v>216</v>
      </c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</row>
    <row r="15">
      <c r="A15" s="134" t="s">
        <v>123</v>
      </c>
      <c r="B15" s="136">
        <v>1.0</v>
      </c>
      <c r="C15" s="137">
        <v>18.0</v>
      </c>
      <c r="D15" s="138" t="s">
        <v>221</v>
      </c>
      <c r="E15" s="138" t="s">
        <v>70</v>
      </c>
      <c r="F15" s="138" t="s">
        <v>25</v>
      </c>
      <c r="G15" s="139">
        <v>160.0</v>
      </c>
      <c r="H15" s="116"/>
      <c r="I15" s="117"/>
      <c r="J15" s="117"/>
      <c r="K15" s="109" t="s">
        <v>25</v>
      </c>
      <c r="L15" s="110" t="s">
        <v>152</v>
      </c>
      <c r="M15" s="110" t="s">
        <v>210</v>
      </c>
      <c r="N15" s="110" t="s">
        <v>215</v>
      </c>
      <c r="O15" s="110">
        <v>0.35</v>
      </c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</row>
    <row r="16">
      <c r="A16" s="140" t="s">
        <v>224</v>
      </c>
      <c r="B16" s="136">
        <v>19.0</v>
      </c>
      <c r="C16" s="137">
        <v>25.0</v>
      </c>
      <c r="D16" s="138" t="s">
        <v>221</v>
      </c>
      <c r="E16" s="138" t="s">
        <v>70</v>
      </c>
      <c r="F16" s="138" t="s">
        <v>25</v>
      </c>
      <c r="G16" s="141">
        <v>250.0</v>
      </c>
      <c r="H16" s="116"/>
      <c r="I16" s="117"/>
      <c r="J16" s="117"/>
      <c r="K16" s="109" t="s">
        <v>25</v>
      </c>
      <c r="L16" s="110" t="s">
        <v>152</v>
      </c>
      <c r="M16" s="110" t="s">
        <v>211</v>
      </c>
      <c r="N16" s="110" t="s">
        <v>215</v>
      </c>
      <c r="O16" s="110">
        <v>0.45</v>
      </c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</row>
    <row r="17">
      <c r="A17" s="142" t="s">
        <v>116</v>
      </c>
      <c r="B17" s="136">
        <v>26.0</v>
      </c>
      <c r="C17" s="137">
        <v>25.0</v>
      </c>
      <c r="D17" s="138" t="s">
        <v>221</v>
      </c>
      <c r="E17" s="138" t="s">
        <v>70</v>
      </c>
      <c r="F17" s="138" t="s">
        <v>25</v>
      </c>
      <c r="G17" s="141" t="s">
        <v>66</v>
      </c>
      <c r="H17" s="116"/>
      <c r="I17" s="117"/>
      <c r="J17" s="117"/>
      <c r="K17" s="109" t="s">
        <v>25</v>
      </c>
      <c r="L17" s="110" t="s">
        <v>225</v>
      </c>
      <c r="M17" s="110" t="s">
        <v>210</v>
      </c>
      <c r="N17" s="110" t="s">
        <v>215</v>
      </c>
      <c r="O17" s="110" t="s">
        <v>216</v>
      </c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</row>
    <row r="18">
      <c r="A18" s="142" t="s">
        <v>123</v>
      </c>
      <c r="B18" s="143">
        <v>1.0</v>
      </c>
      <c r="C18" s="144">
        <v>25.0</v>
      </c>
      <c r="D18" s="145" t="s">
        <v>221</v>
      </c>
      <c r="E18" s="145" t="s">
        <v>37</v>
      </c>
      <c r="F18" s="145" t="s">
        <v>25</v>
      </c>
      <c r="G18" s="146">
        <v>125.0</v>
      </c>
      <c r="H18" s="116"/>
      <c r="I18" s="117"/>
      <c r="J18" s="117"/>
      <c r="K18" s="109" t="s">
        <v>25</v>
      </c>
      <c r="L18" s="110" t="s">
        <v>225</v>
      </c>
      <c r="M18" s="110" t="s">
        <v>211</v>
      </c>
      <c r="N18" s="110" t="s">
        <v>215</v>
      </c>
      <c r="O18" s="110" t="s">
        <v>216</v>
      </c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</row>
    <row r="19">
      <c r="A19" s="142" t="s">
        <v>224</v>
      </c>
      <c r="B19" s="147">
        <v>1.0</v>
      </c>
      <c r="C19" s="113">
        <v>25.0</v>
      </c>
      <c r="D19" s="148" t="s">
        <v>226</v>
      </c>
      <c r="E19" s="148" t="s">
        <v>33</v>
      </c>
      <c r="F19" s="148" t="s">
        <v>25</v>
      </c>
      <c r="G19" s="149">
        <v>115.0</v>
      </c>
      <c r="H19" s="101"/>
      <c r="I19" s="91"/>
      <c r="J19" s="91"/>
      <c r="K19" s="109" t="s">
        <v>25</v>
      </c>
      <c r="L19" s="110" t="s">
        <v>152</v>
      </c>
      <c r="M19" s="110" t="s">
        <v>210</v>
      </c>
      <c r="N19" s="110" t="s">
        <v>222</v>
      </c>
      <c r="O19" s="110">
        <v>0.22</v>
      </c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</row>
    <row r="20">
      <c r="A20" s="142"/>
      <c r="B20" s="147">
        <v>1.0</v>
      </c>
      <c r="C20" s="113">
        <v>25.0</v>
      </c>
      <c r="D20" s="148" t="s">
        <v>226</v>
      </c>
      <c r="E20" s="148" t="s">
        <v>81</v>
      </c>
      <c r="F20" s="148" t="s">
        <v>25</v>
      </c>
      <c r="G20" s="149">
        <v>115.0</v>
      </c>
      <c r="H20" s="101"/>
      <c r="I20" s="91"/>
      <c r="J20" s="91"/>
      <c r="K20" s="109" t="s">
        <v>25</v>
      </c>
      <c r="L20" s="110" t="s">
        <v>152</v>
      </c>
      <c r="M20" s="110" t="s">
        <v>211</v>
      </c>
      <c r="N20" s="110" t="s">
        <v>222</v>
      </c>
      <c r="O20" s="110">
        <v>0.3</v>
      </c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</row>
    <row r="21">
      <c r="A21" s="142"/>
      <c r="B21" s="150">
        <v>1.0</v>
      </c>
      <c r="C21" s="114">
        <v>25.0</v>
      </c>
      <c r="D21" s="151" t="s">
        <v>226</v>
      </c>
      <c r="E21" s="151" t="s">
        <v>50</v>
      </c>
      <c r="F21" s="151" t="s">
        <v>25</v>
      </c>
      <c r="G21" s="152">
        <v>115.0</v>
      </c>
      <c r="H21" s="101"/>
      <c r="I21" s="91"/>
      <c r="J21" s="91"/>
      <c r="K21" s="109" t="s">
        <v>25</v>
      </c>
      <c r="L21" s="110" t="s">
        <v>225</v>
      </c>
      <c r="M21" s="110" t="s">
        <v>210</v>
      </c>
      <c r="N21" s="110" t="s">
        <v>222</v>
      </c>
      <c r="O21" s="110" t="s">
        <v>216</v>
      </c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</row>
    <row r="22">
      <c r="A22" s="142"/>
      <c r="B22" s="150">
        <v>1.0</v>
      </c>
      <c r="C22" s="114">
        <v>25.0</v>
      </c>
      <c r="D22" s="151" t="s">
        <v>226</v>
      </c>
      <c r="E22" s="151" t="s">
        <v>227</v>
      </c>
      <c r="F22" s="151" t="s">
        <v>25</v>
      </c>
      <c r="G22" s="152">
        <v>115.0</v>
      </c>
      <c r="H22" s="101"/>
      <c r="I22" s="91"/>
      <c r="J22" s="91"/>
      <c r="K22" s="109" t="s">
        <v>25</v>
      </c>
      <c r="L22" s="110" t="s">
        <v>225</v>
      </c>
      <c r="M22" s="110" t="s">
        <v>211</v>
      </c>
      <c r="N22" s="110" t="s">
        <v>222</v>
      </c>
      <c r="O22" s="110" t="s">
        <v>216</v>
      </c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</row>
    <row r="23">
      <c r="A23" s="142"/>
      <c r="B23" s="97">
        <v>1.0</v>
      </c>
      <c r="C23" s="153">
        <v>5.0</v>
      </c>
      <c r="D23" s="99" t="s">
        <v>212</v>
      </c>
      <c r="E23" s="99" t="s">
        <v>213</v>
      </c>
      <c r="F23" s="99" t="s">
        <v>55</v>
      </c>
      <c r="G23" s="100" t="s">
        <v>66</v>
      </c>
      <c r="H23" s="101"/>
      <c r="I23" s="91"/>
      <c r="J23" s="91"/>
      <c r="K23" s="109" t="s">
        <v>25</v>
      </c>
      <c r="L23" s="110" t="s">
        <v>228</v>
      </c>
      <c r="M23" s="110" t="s">
        <v>210</v>
      </c>
      <c r="N23" s="110" t="s">
        <v>215</v>
      </c>
      <c r="O23" s="110" t="s">
        <v>216</v>
      </c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</row>
    <row r="24">
      <c r="A24" s="96" t="s">
        <v>212</v>
      </c>
      <c r="B24" s="105">
        <v>1.0</v>
      </c>
      <c r="C24" s="154">
        <v>5.0</v>
      </c>
      <c r="D24" s="107" t="s">
        <v>212</v>
      </c>
      <c r="E24" s="107" t="s">
        <v>28</v>
      </c>
      <c r="F24" s="107" t="s">
        <v>55</v>
      </c>
      <c r="G24" s="108" t="s">
        <v>66</v>
      </c>
      <c r="H24" s="101"/>
      <c r="I24" s="91"/>
      <c r="J24" s="91"/>
      <c r="K24" s="109" t="s">
        <v>25</v>
      </c>
      <c r="L24" s="110" t="s">
        <v>228</v>
      </c>
      <c r="M24" s="110" t="s">
        <v>211</v>
      </c>
      <c r="N24" s="110" t="s">
        <v>215</v>
      </c>
      <c r="O24" s="110" t="s">
        <v>216</v>
      </c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</row>
    <row r="25">
      <c r="A25" s="96" t="s">
        <v>212</v>
      </c>
      <c r="B25" s="105">
        <v>1.0</v>
      </c>
      <c r="C25" s="154">
        <v>5.0</v>
      </c>
      <c r="D25" s="107" t="s">
        <v>212</v>
      </c>
      <c r="E25" s="112" t="s">
        <v>217</v>
      </c>
      <c r="F25" s="112" t="s">
        <v>55</v>
      </c>
      <c r="G25" s="108" t="s">
        <v>66</v>
      </c>
      <c r="H25" s="101"/>
      <c r="I25" s="91"/>
      <c r="J25" s="91"/>
      <c r="K25" s="109" t="s">
        <v>25</v>
      </c>
      <c r="L25" s="110" t="s">
        <v>228</v>
      </c>
      <c r="M25" s="110" t="s">
        <v>210</v>
      </c>
      <c r="N25" s="110" t="s">
        <v>222</v>
      </c>
      <c r="O25" s="110" t="s">
        <v>216</v>
      </c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</row>
    <row r="26">
      <c r="A26" s="96" t="s">
        <v>212</v>
      </c>
      <c r="B26" s="105">
        <v>1.0</v>
      </c>
      <c r="C26" s="154">
        <v>5.0</v>
      </c>
      <c r="D26" s="107" t="s">
        <v>212</v>
      </c>
      <c r="E26" s="112" t="s">
        <v>218</v>
      </c>
      <c r="F26" s="112" t="s">
        <v>55</v>
      </c>
      <c r="G26" s="108" t="s">
        <v>66</v>
      </c>
      <c r="H26" s="101"/>
      <c r="I26" s="91"/>
      <c r="J26" s="91"/>
      <c r="K26" s="109" t="s">
        <v>25</v>
      </c>
      <c r="L26" s="110" t="s">
        <v>228</v>
      </c>
      <c r="M26" s="110" t="s">
        <v>211</v>
      </c>
      <c r="N26" s="110" t="s">
        <v>222</v>
      </c>
      <c r="O26" s="110" t="s">
        <v>216</v>
      </c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</row>
    <row r="27">
      <c r="A27" s="96" t="s">
        <v>212</v>
      </c>
      <c r="B27" s="105">
        <v>1.0</v>
      </c>
      <c r="C27" s="154">
        <v>5.0</v>
      </c>
      <c r="D27" s="107" t="s">
        <v>212</v>
      </c>
      <c r="E27" s="155" t="s">
        <v>190</v>
      </c>
      <c r="F27" s="155" t="s">
        <v>55</v>
      </c>
      <c r="G27" s="108" t="s">
        <v>66</v>
      </c>
      <c r="H27" s="101"/>
      <c r="I27" s="91"/>
      <c r="J27" s="91"/>
      <c r="K27" s="109" t="s">
        <v>55</v>
      </c>
      <c r="L27" s="110" t="s">
        <v>152</v>
      </c>
      <c r="M27" s="110" t="s">
        <v>210</v>
      </c>
      <c r="N27" s="110" t="s">
        <v>215</v>
      </c>
      <c r="O27" s="110" t="s">
        <v>216</v>
      </c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</row>
    <row r="28">
      <c r="A28" s="96" t="s">
        <v>212</v>
      </c>
      <c r="B28" s="105">
        <v>1.0</v>
      </c>
      <c r="C28" s="154">
        <v>5.0</v>
      </c>
      <c r="D28" s="124" t="s">
        <v>221</v>
      </c>
      <c r="E28" s="124" t="s">
        <v>229</v>
      </c>
      <c r="F28" s="124" t="s">
        <v>55</v>
      </c>
      <c r="G28" s="125" t="s">
        <v>66</v>
      </c>
      <c r="H28" s="101"/>
      <c r="I28" s="91"/>
      <c r="J28" s="91"/>
      <c r="K28" s="156" t="s">
        <v>55</v>
      </c>
      <c r="L28" s="110" t="s">
        <v>152</v>
      </c>
      <c r="M28" s="110" t="s">
        <v>211</v>
      </c>
      <c r="N28" s="110" t="s">
        <v>215</v>
      </c>
      <c r="O28" s="110" t="s">
        <v>216</v>
      </c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</row>
    <row r="29">
      <c r="A29" s="115" t="s">
        <v>219</v>
      </c>
      <c r="B29" s="105">
        <v>1.0</v>
      </c>
      <c r="C29" s="154">
        <v>5.0</v>
      </c>
      <c r="D29" s="124" t="s">
        <v>221</v>
      </c>
      <c r="E29" s="124" t="s">
        <v>230</v>
      </c>
      <c r="F29" s="124" t="s">
        <v>55</v>
      </c>
      <c r="G29" s="125" t="s">
        <v>66</v>
      </c>
      <c r="H29" s="101"/>
      <c r="I29" s="91"/>
      <c r="J29" s="91"/>
      <c r="K29" s="156" t="s">
        <v>55</v>
      </c>
      <c r="L29" s="110" t="s">
        <v>152</v>
      </c>
      <c r="M29" s="110" t="s">
        <v>210</v>
      </c>
      <c r="N29" s="110" t="s">
        <v>222</v>
      </c>
      <c r="O29" s="110" t="s">
        <v>216</v>
      </c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</row>
    <row r="30">
      <c r="A30" s="115" t="s">
        <v>219</v>
      </c>
      <c r="B30" s="105">
        <v>1.0</v>
      </c>
      <c r="C30" s="154">
        <v>5.0</v>
      </c>
      <c r="D30" s="124" t="s">
        <v>223</v>
      </c>
      <c r="E30" s="124" t="s">
        <v>40</v>
      </c>
      <c r="F30" s="124" t="s">
        <v>55</v>
      </c>
      <c r="G30" s="157" t="s">
        <v>66</v>
      </c>
      <c r="H30" s="101"/>
      <c r="I30" s="91"/>
      <c r="J30" s="91"/>
      <c r="K30" s="156" t="s">
        <v>55</v>
      </c>
      <c r="L30" s="110" t="s">
        <v>152</v>
      </c>
      <c r="M30" s="110" t="s">
        <v>211</v>
      </c>
      <c r="N30" s="110" t="s">
        <v>222</v>
      </c>
      <c r="O30" s="110" t="s">
        <v>216</v>
      </c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</row>
    <row r="31">
      <c r="A31" s="134" t="s">
        <v>123</v>
      </c>
      <c r="B31" s="97">
        <v>1.0</v>
      </c>
      <c r="C31" s="153">
        <v>12.0</v>
      </c>
      <c r="D31" s="99" t="s">
        <v>212</v>
      </c>
      <c r="E31" s="99" t="s">
        <v>213</v>
      </c>
      <c r="F31" s="99" t="s">
        <v>166</v>
      </c>
      <c r="G31" s="100" t="s">
        <v>66</v>
      </c>
      <c r="H31" s="158"/>
      <c r="I31" s="91"/>
      <c r="J31" s="91"/>
      <c r="K31" s="156" t="s">
        <v>166</v>
      </c>
      <c r="L31" s="159" t="s">
        <v>152</v>
      </c>
      <c r="M31" s="159" t="s">
        <v>210</v>
      </c>
      <c r="N31" s="159" t="s">
        <v>215</v>
      </c>
      <c r="O31" s="159" t="s">
        <v>216</v>
      </c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</row>
    <row r="32">
      <c r="A32" s="140" t="s">
        <v>224</v>
      </c>
      <c r="B32" s="105">
        <v>1.0</v>
      </c>
      <c r="C32" s="154">
        <v>12.0</v>
      </c>
      <c r="D32" s="107" t="s">
        <v>212</v>
      </c>
      <c r="E32" s="107" t="s">
        <v>28</v>
      </c>
      <c r="F32" s="107" t="s">
        <v>166</v>
      </c>
      <c r="G32" s="108" t="s">
        <v>66</v>
      </c>
      <c r="H32" s="101"/>
      <c r="I32" s="91"/>
      <c r="J32" s="91"/>
      <c r="K32" s="156" t="s">
        <v>166</v>
      </c>
      <c r="L32" s="159" t="s">
        <v>152</v>
      </c>
      <c r="M32" s="159" t="s">
        <v>211</v>
      </c>
      <c r="N32" s="159" t="s">
        <v>215</v>
      </c>
      <c r="O32" s="159" t="s">
        <v>216</v>
      </c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</row>
    <row r="33">
      <c r="A33" s="142" t="s">
        <v>116</v>
      </c>
      <c r="B33" s="105">
        <v>1.0</v>
      </c>
      <c r="C33" s="154">
        <v>12.0</v>
      </c>
      <c r="D33" s="107" t="s">
        <v>212</v>
      </c>
      <c r="E33" s="112" t="s">
        <v>217</v>
      </c>
      <c r="F33" s="112" t="s">
        <v>166</v>
      </c>
      <c r="G33" s="108" t="s">
        <v>66</v>
      </c>
      <c r="H33" s="101"/>
      <c r="I33" s="91"/>
      <c r="J33" s="91"/>
      <c r="K33" s="156" t="s">
        <v>166</v>
      </c>
      <c r="L33" s="159" t="s">
        <v>152</v>
      </c>
      <c r="M33" s="159" t="s">
        <v>210</v>
      </c>
      <c r="N33" s="159" t="s">
        <v>222</v>
      </c>
      <c r="O33" s="159" t="s">
        <v>216</v>
      </c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</row>
    <row r="34">
      <c r="A34" s="142" t="s">
        <v>123</v>
      </c>
      <c r="B34" s="105">
        <v>1.0</v>
      </c>
      <c r="C34" s="154">
        <v>12.0</v>
      </c>
      <c r="D34" s="107" t="s">
        <v>212</v>
      </c>
      <c r="E34" s="112" t="s">
        <v>218</v>
      </c>
      <c r="F34" s="112" t="s">
        <v>166</v>
      </c>
      <c r="G34" s="108" t="s">
        <v>66</v>
      </c>
      <c r="H34" s="101"/>
      <c r="I34" s="91"/>
      <c r="J34" s="91"/>
      <c r="K34" s="156" t="s">
        <v>166</v>
      </c>
      <c r="L34" s="159" t="s">
        <v>152</v>
      </c>
      <c r="M34" s="159" t="s">
        <v>211</v>
      </c>
      <c r="N34" s="159" t="s">
        <v>222</v>
      </c>
      <c r="O34" s="159" t="s">
        <v>216</v>
      </c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</row>
    <row r="35">
      <c r="A35" s="142" t="s">
        <v>224</v>
      </c>
      <c r="B35" s="105">
        <v>1.0</v>
      </c>
      <c r="C35" s="154">
        <v>12.0</v>
      </c>
      <c r="D35" s="107" t="s">
        <v>212</v>
      </c>
      <c r="E35" s="155" t="s">
        <v>190</v>
      </c>
      <c r="F35" s="155" t="s">
        <v>166</v>
      </c>
      <c r="G35" s="108" t="s">
        <v>66</v>
      </c>
      <c r="H35" s="101"/>
      <c r="I35" s="91"/>
      <c r="J35" s="91"/>
      <c r="K35" s="160"/>
      <c r="L35" s="160"/>
      <c r="M35" s="160"/>
      <c r="N35" s="160"/>
      <c r="O35" s="160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</row>
    <row r="36">
      <c r="A36" s="96" t="s">
        <v>212</v>
      </c>
      <c r="B36" s="105">
        <v>1.0</v>
      </c>
      <c r="C36" s="154">
        <v>12.0</v>
      </c>
      <c r="D36" s="124" t="s">
        <v>221</v>
      </c>
      <c r="E36" s="124" t="s">
        <v>104</v>
      </c>
      <c r="F36" s="124" t="s">
        <v>166</v>
      </c>
      <c r="G36" s="125" t="s">
        <v>66</v>
      </c>
      <c r="H36" s="101"/>
      <c r="I36" s="91"/>
      <c r="J36" s="91"/>
      <c r="K36" s="160"/>
      <c r="L36" s="160"/>
      <c r="M36" s="160"/>
      <c r="N36" s="160"/>
      <c r="O36" s="160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</row>
    <row r="37">
      <c r="A37" s="96" t="s">
        <v>212</v>
      </c>
      <c r="B37" s="105">
        <v>1.0</v>
      </c>
      <c r="C37" s="154">
        <v>12.0</v>
      </c>
      <c r="D37" s="124" t="s">
        <v>221</v>
      </c>
      <c r="E37" s="124" t="s">
        <v>58</v>
      </c>
      <c r="F37" s="124" t="s">
        <v>166</v>
      </c>
      <c r="G37" s="125" t="s">
        <v>66</v>
      </c>
      <c r="H37" s="101"/>
      <c r="I37" s="91"/>
      <c r="J37" s="91"/>
      <c r="K37" s="160"/>
      <c r="L37" s="160"/>
      <c r="M37" s="160"/>
      <c r="N37" s="160"/>
      <c r="O37" s="160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</row>
    <row r="38">
      <c r="A38" s="96" t="s">
        <v>212</v>
      </c>
      <c r="B38" s="105">
        <v>1.0</v>
      </c>
      <c r="C38" s="154">
        <v>12.0</v>
      </c>
      <c r="D38" s="124" t="s">
        <v>223</v>
      </c>
      <c r="E38" s="124" t="s">
        <v>45</v>
      </c>
      <c r="F38" s="124" t="s">
        <v>166</v>
      </c>
      <c r="G38" s="125" t="s">
        <v>66</v>
      </c>
      <c r="H38" s="101"/>
      <c r="I38" s="91"/>
      <c r="J38" s="91"/>
      <c r="K38" s="160"/>
      <c r="L38" s="160"/>
      <c r="M38" s="160"/>
      <c r="N38" s="160"/>
      <c r="O38" s="160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</row>
    <row r="39">
      <c r="A39" s="115" t="s">
        <v>219</v>
      </c>
      <c r="B39" s="105">
        <v>1.0</v>
      </c>
      <c r="C39" s="154">
        <v>12.0</v>
      </c>
      <c r="D39" s="145" t="s">
        <v>221</v>
      </c>
      <c r="E39" s="145" t="s">
        <v>231</v>
      </c>
      <c r="F39" s="145" t="s">
        <v>166</v>
      </c>
      <c r="G39" s="146" t="s">
        <v>66</v>
      </c>
      <c r="H39" s="101"/>
      <c r="I39" s="91"/>
      <c r="J39" s="91"/>
      <c r="K39" s="160"/>
      <c r="L39" s="160"/>
      <c r="M39" s="160"/>
      <c r="N39" s="160"/>
      <c r="O39" s="160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</row>
    <row r="40">
      <c r="A40" s="115" t="s">
        <v>219</v>
      </c>
      <c r="B40" s="161">
        <v>1.0</v>
      </c>
      <c r="C40" s="162">
        <v>12.0</v>
      </c>
      <c r="D40" s="163" t="s">
        <v>226</v>
      </c>
      <c r="E40" s="163" t="s">
        <v>232</v>
      </c>
      <c r="F40" s="163" t="s">
        <v>166</v>
      </c>
      <c r="G40" s="157" t="s">
        <v>66</v>
      </c>
      <c r="H40" s="101"/>
      <c r="I40" s="91"/>
      <c r="J40" s="91"/>
      <c r="K40" s="160"/>
      <c r="L40" s="160"/>
      <c r="M40" s="160"/>
      <c r="N40" s="160"/>
      <c r="O40" s="160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</row>
    <row r="41">
      <c r="A41" s="128" t="s">
        <v>116</v>
      </c>
      <c r="H41" s="101"/>
      <c r="I41" s="91"/>
      <c r="J41" s="91"/>
      <c r="K41" s="160"/>
      <c r="L41" s="160"/>
      <c r="M41" s="160"/>
      <c r="N41" s="160"/>
      <c r="O41" s="160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</row>
    <row r="42">
      <c r="A42" s="132" t="s">
        <v>116</v>
      </c>
      <c r="H42" s="91"/>
      <c r="I42" s="91"/>
      <c r="J42" s="91"/>
      <c r="K42" s="160"/>
      <c r="L42" s="160"/>
      <c r="M42" s="160"/>
      <c r="N42" s="160"/>
      <c r="O42" s="160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</row>
    <row r="43">
      <c r="A43" s="138" t="s">
        <v>123</v>
      </c>
      <c r="H43" s="91"/>
      <c r="I43" s="91"/>
      <c r="J43" s="91"/>
      <c r="K43" s="160"/>
      <c r="L43" s="160"/>
      <c r="M43" s="160"/>
      <c r="N43" s="160"/>
      <c r="O43" s="160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</row>
    <row r="44">
      <c r="A44" s="138" t="s">
        <v>123</v>
      </c>
      <c r="H44" s="91"/>
      <c r="I44" s="91"/>
      <c r="J44" s="91"/>
      <c r="K44" s="160"/>
      <c r="L44" s="160"/>
      <c r="M44" s="160"/>
      <c r="N44" s="160"/>
      <c r="O44" s="160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</row>
    <row r="45">
      <c r="A45" s="138" t="s">
        <v>123</v>
      </c>
      <c r="H45" s="91"/>
      <c r="I45" s="91"/>
      <c r="J45" s="91"/>
      <c r="K45" s="160"/>
      <c r="L45" s="160"/>
      <c r="M45" s="160"/>
      <c r="N45" s="160"/>
      <c r="O45" s="160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</row>
    <row r="46">
      <c r="A46" s="145" t="s">
        <v>224</v>
      </c>
      <c r="H46" s="91"/>
      <c r="I46" s="91"/>
      <c r="J46" s="91"/>
      <c r="K46" s="160"/>
      <c r="L46" s="160"/>
      <c r="M46" s="160"/>
      <c r="N46" s="160"/>
      <c r="O46" s="160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</row>
    <row r="47">
      <c r="A47" s="148" t="s">
        <v>116</v>
      </c>
      <c r="H47" s="91"/>
      <c r="I47" s="91"/>
      <c r="J47" s="91"/>
      <c r="K47" s="160"/>
      <c r="L47" s="160"/>
      <c r="M47" s="160"/>
      <c r="N47" s="160"/>
      <c r="O47" s="160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</row>
    <row r="48">
      <c r="A48" s="148" t="s">
        <v>123</v>
      </c>
      <c r="H48" s="91"/>
      <c r="I48" s="91"/>
      <c r="J48" s="91"/>
      <c r="K48" s="160"/>
      <c r="L48" s="160"/>
      <c r="M48" s="160"/>
      <c r="N48" s="160"/>
      <c r="O48" s="160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</row>
    <row r="49">
      <c r="A49" s="148" t="s">
        <v>224</v>
      </c>
      <c r="H49" s="91"/>
      <c r="I49" s="91"/>
      <c r="J49" s="91"/>
      <c r="K49" s="160"/>
      <c r="L49" s="160"/>
      <c r="M49" s="160"/>
      <c r="N49" s="160"/>
      <c r="O49" s="160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</row>
    <row r="50">
      <c r="H50" s="91"/>
      <c r="I50" s="91"/>
      <c r="J50" s="91"/>
      <c r="K50" s="160"/>
      <c r="L50" s="160"/>
      <c r="M50" s="160"/>
      <c r="N50" s="160"/>
      <c r="O50" s="160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</row>
    <row r="51">
      <c r="A51" s="164"/>
      <c r="B51" s="165"/>
      <c r="C51" s="165"/>
      <c r="D51" s="164"/>
      <c r="E51" s="164"/>
      <c r="F51" s="164"/>
      <c r="G51" s="113"/>
      <c r="H51" s="91"/>
      <c r="I51" s="91"/>
      <c r="J51" s="91"/>
      <c r="K51" s="160"/>
      <c r="L51" s="160"/>
      <c r="M51" s="160"/>
      <c r="N51" s="160"/>
      <c r="O51" s="160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</row>
    <row r="52">
      <c r="A52" s="164"/>
      <c r="B52" s="165"/>
      <c r="C52" s="165"/>
      <c r="D52" s="164"/>
      <c r="E52" s="164"/>
      <c r="F52" s="164"/>
      <c r="G52" s="113"/>
      <c r="H52" s="91"/>
      <c r="I52" s="91"/>
      <c r="J52" s="91"/>
      <c r="K52" s="160"/>
      <c r="L52" s="160"/>
      <c r="M52" s="160"/>
      <c r="N52" s="160"/>
      <c r="O52" s="160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</row>
    <row r="53">
      <c r="A53" s="164"/>
      <c r="B53" s="165"/>
      <c r="C53" s="165"/>
      <c r="D53" s="164"/>
      <c r="E53" s="164"/>
      <c r="F53" s="164"/>
      <c r="G53" s="91"/>
      <c r="H53" s="91"/>
      <c r="I53" s="91"/>
      <c r="J53" s="91"/>
      <c r="K53" s="160"/>
      <c r="L53" s="160"/>
      <c r="M53" s="160"/>
      <c r="N53" s="160"/>
      <c r="O53" s="160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</row>
    <row r="54">
      <c r="A54" s="164"/>
      <c r="B54" s="165"/>
      <c r="C54" s="165"/>
      <c r="D54" s="164"/>
      <c r="E54" s="164"/>
      <c r="F54" s="164"/>
      <c r="G54" s="113"/>
      <c r="H54" s="91"/>
      <c r="I54" s="91"/>
      <c r="J54" s="91"/>
      <c r="K54" s="160"/>
      <c r="L54" s="160"/>
      <c r="M54" s="160"/>
      <c r="N54" s="160"/>
      <c r="O54" s="160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</row>
    <row r="55">
      <c r="A55" s="164"/>
      <c r="B55" s="165"/>
      <c r="C55" s="165"/>
      <c r="D55" s="164"/>
      <c r="E55" s="164"/>
      <c r="F55" s="164"/>
      <c r="G55" s="91"/>
      <c r="H55" s="91"/>
      <c r="I55" s="91"/>
      <c r="J55" s="91"/>
      <c r="K55" s="160"/>
      <c r="L55" s="160"/>
      <c r="M55" s="160"/>
      <c r="N55" s="160"/>
      <c r="O55" s="160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</row>
    <row r="56">
      <c r="A56" s="164"/>
      <c r="B56" s="165"/>
      <c r="C56" s="165"/>
      <c r="D56" s="164"/>
      <c r="E56" s="164"/>
      <c r="F56" s="164"/>
      <c r="G56" s="91"/>
      <c r="H56" s="91"/>
      <c r="I56" s="91"/>
      <c r="J56" s="91"/>
      <c r="K56" s="160"/>
      <c r="L56" s="160"/>
      <c r="M56" s="160"/>
      <c r="N56" s="160"/>
      <c r="O56" s="160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</row>
    <row r="57">
      <c r="A57" s="164"/>
      <c r="B57" s="165"/>
      <c r="C57" s="165"/>
      <c r="D57" s="164"/>
      <c r="E57" s="164"/>
      <c r="F57" s="164"/>
      <c r="G57" s="91"/>
      <c r="H57" s="91"/>
      <c r="I57" s="91"/>
      <c r="J57" s="91"/>
      <c r="K57" s="160"/>
      <c r="L57" s="160"/>
      <c r="M57" s="160"/>
      <c r="N57" s="160"/>
      <c r="O57" s="160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</row>
    <row r="58">
      <c r="A58" s="164"/>
      <c r="B58" s="165"/>
      <c r="C58" s="165"/>
      <c r="D58" s="164"/>
      <c r="E58" s="164"/>
      <c r="F58" s="164"/>
      <c r="G58" s="91"/>
      <c r="H58" s="91"/>
      <c r="I58" s="91"/>
      <c r="J58" s="91"/>
      <c r="K58" s="160"/>
      <c r="L58" s="160"/>
      <c r="M58" s="160"/>
      <c r="N58" s="160"/>
      <c r="O58" s="160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</row>
    <row r="59">
      <c r="A59" s="164"/>
      <c r="B59" s="165"/>
      <c r="C59" s="165"/>
      <c r="D59" s="164"/>
      <c r="E59" s="164"/>
      <c r="F59" s="164"/>
      <c r="G59" s="91"/>
      <c r="H59" s="91"/>
      <c r="I59" s="91"/>
      <c r="J59" s="91"/>
      <c r="K59" s="160"/>
      <c r="L59" s="160"/>
      <c r="M59" s="160"/>
      <c r="N59" s="160"/>
      <c r="O59" s="160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</row>
    <row r="60">
      <c r="A60" s="164"/>
      <c r="B60" s="165"/>
      <c r="C60" s="165"/>
      <c r="D60" s="164"/>
      <c r="E60" s="164"/>
      <c r="F60" s="164"/>
      <c r="G60" s="91"/>
      <c r="H60" s="91"/>
      <c r="I60" s="91"/>
      <c r="J60" s="91"/>
      <c r="K60" s="160"/>
      <c r="L60" s="160"/>
      <c r="M60" s="160"/>
      <c r="N60" s="160"/>
      <c r="O60" s="160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</row>
    <row r="61">
      <c r="A61" s="164"/>
      <c r="B61" s="165"/>
      <c r="C61" s="165"/>
      <c r="D61" s="164"/>
      <c r="E61" s="164"/>
      <c r="F61" s="164"/>
      <c r="G61" s="91"/>
      <c r="H61" s="91"/>
      <c r="I61" s="91"/>
      <c r="J61" s="91"/>
      <c r="K61" s="160"/>
      <c r="L61" s="160"/>
      <c r="M61" s="160"/>
      <c r="N61" s="160"/>
      <c r="O61" s="160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</row>
    <row r="62">
      <c r="A62" s="164"/>
      <c r="B62" s="165"/>
      <c r="C62" s="165"/>
      <c r="D62" s="164"/>
      <c r="E62" s="164"/>
      <c r="F62" s="164"/>
      <c r="G62" s="91"/>
      <c r="H62" s="91"/>
      <c r="I62" s="91"/>
      <c r="J62" s="91"/>
      <c r="K62" s="160"/>
      <c r="L62" s="160"/>
      <c r="M62" s="160"/>
      <c r="N62" s="160"/>
      <c r="O62" s="160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</row>
    <row r="63">
      <c r="A63" s="164"/>
      <c r="B63" s="165"/>
      <c r="C63" s="165"/>
      <c r="D63" s="164"/>
      <c r="E63" s="164"/>
      <c r="F63" s="164"/>
      <c r="G63" s="91"/>
      <c r="H63" s="91"/>
      <c r="I63" s="91"/>
      <c r="J63" s="91"/>
      <c r="K63" s="160"/>
      <c r="L63" s="160"/>
      <c r="M63" s="160"/>
      <c r="N63" s="160"/>
      <c r="O63" s="160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</row>
    <row r="64">
      <c r="A64" s="164"/>
      <c r="B64" s="165"/>
      <c r="C64" s="165"/>
      <c r="D64" s="164"/>
      <c r="E64" s="164"/>
      <c r="F64" s="164"/>
      <c r="G64" s="91"/>
      <c r="H64" s="91"/>
      <c r="I64" s="91"/>
      <c r="J64" s="91"/>
      <c r="K64" s="160"/>
      <c r="L64" s="160"/>
      <c r="M64" s="160"/>
      <c r="N64" s="160"/>
      <c r="O64" s="160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</row>
    <row r="65">
      <c r="A65" s="164"/>
      <c r="B65" s="165"/>
      <c r="C65" s="165"/>
      <c r="D65" s="164"/>
      <c r="E65" s="164"/>
      <c r="F65" s="164"/>
      <c r="G65" s="91"/>
      <c r="H65" s="91"/>
      <c r="I65" s="91"/>
      <c r="J65" s="91"/>
      <c r="K65" s="160"/>
      <c r="L65" s="160"/>
      <c r="M65" s="160"/>
      <c r="N65" s="160"/>
      <c r="O65" s="160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91"/>
    </row>
    <row r="66">
      <c r="A66" s="164"/>
      <c r="B66" s="165"/>
      <c r="C66" s="165"/>
      <c r="D66" s="164"/>
      <c r="E66" s="164"/>
      <c r="F66" s="164"/>
      <c r="G66" s="91"/>
      <c r="H66" s="91"/>
      <c r="I66" s="91"/>
      <c r="J66" s="91"/>
      <c r="K66" s="160"/>
      <c r="L66" s="160"/>
      <c r="M66" s="160"/>
      <c r="N66" s="160"/>
      <c r="O66" s="160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</row>
    <row r="67">
      <c r="A67" s="164"/>
      <c r="B67" s="165"/>
      <c r="C67" s="165"/>
      <c r="D67" s="164"/>
      <c r="E67" s="164"/>
      <c r="F67" s="164"/>
      <c r="G67" s="91"/>
      <c r="H67" s="91"/>
      <c r="I67" s="91"/>
      <c r="J67" s="91"/>
      <c r="K67" s="160"/>
      <c r="L67" s="160"/>
      <c r="M67" s="160"/>
      <c r="N67" s="160"/>
      <c r="O67" s="160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</row>
    <row r="68">
      <c r="A68" s="164"/>
      <c r="B68" s="165"/>
      <c r="C68" s="165"/>
      <c r="D68" s="164"/>
      <c r="E68" s="164"/>
      <c r="F68" s="164"/>
      <c r="G68" s="91"/>
      <c r="H68" s="91"/>
      <c r="I68" s="91"/>
      <c r="J68" s="91"/>
      <c r="K68" s="160"/>
      <c r="L68" s="160"/>
      <c r="M68" s="160"/>
      <c r="N68" s="160"/>
      <c r="O68" s="160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</row>
    <row r="69">
      <c r="A69" s="164"/>
      <c r="B69" s="165"/>
      <c r="C69" s="165"/>
      <c r="D69" s="164"/>
      <c r="E69" s="164"/>
      <c r="F69" s="164"/>
      <c r="G69" s="91"/>
      <c r="H69" s="91"/>
      <c r="I69" s="91"/>
      <c r="J69" s="91"/>
      <c r="K69" s="160"/>
      <c r="L69" s="160"/>
      <c r="M69" s="160"/>
      <c r="N69" s="160"/>
      <c r="O69" s="160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</row>
    <row r="70">
      <c r="A70" s="164"/>
      <c r="B70" s="165"/>
      <c r="C70" s="165"/>
      <c r="D70" s="164"/>
      <c r="E70" s="164"/>
      <c r="F70" s="164"/>
      <c r="G70" s="91"/>
      <c r="H70" s="91"/>
      <c r="I70" s="91"/>
      <c r="J70" s="91"/>
      <c r="K70" s="160"/>
      <c r="L70" s="160"/>
      <c r="M70" s="160"/>
      <c r="N70" s="160"/>
      <c r="O70" s="160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</row>
    <row r="71">
      <c r="A71" s="164"/>
      <c r="B71" s="165"/>
      <c r="C71" s="165"/>
      <c r="D71" s="164"/>
      <c r="E71" s="164"/>
      <c r="F71" s="164"/>
      <c r="G71" s="91"/>
      <c r="H71" s="91"/>
      <c r="I71" s="91"/>
      <c r="J71" s="91"/>
      <c r="K71" s="160"/>
      <c r="L71" s="160"/>
      <c r="M71" s="160"/>
      <c r="N71" s="160"/>
      <c r="O71" s="160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</row>
    <row r="72">
      <c r="A72" s="164"/>
      <c r="B72" s="165"/>
      <c r="C72" s="165"/>
      <c r="D72" s="164"/>
      <c r="E72" s="164"/>
      <c r="F72" s="164"/>
      <c r="G72" s="91"/>
      <c r="H72" s="91"/>
      <c r="I72" s="91"/>
      <c r="J72" s="91"/>
      <c r="K72" s="160"/>
      <c r="L72" s="160"/>
      <c r="M72" s="160"/>
      <c r="N72" s="160"/>
      <c r="O72" s="160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1"/>
      <c r="AN72" s="91"/>
    </row>
    <row r="73">
      <c r="A73" s="164"/>
      <c r="B73" s="165"/>
      <c r="C73" s="165"/>
      <c r="D73" s="164"/>
      <c r="E73" s="164"/>
      <c r="F73" s="164"/>
      <c r="G73" s="91"/>
      <c r="H73" s="91"/>
      <c r="I73" s="91"/>
      <c r="J73" s="91"/>
      <c r="K73" s="160"/>
      <c r="L73" s="160"/>
      <c r="M73" s="160"/>
      <c r="N73" s="160"/>
      <c r="O73" s="160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</row>
    <row r="74">
      <c r="A74" s="164"/>
      <c r="B74" s="165"/>
      <c r="C74" s="165"/>
      <c r="D74" s="164"/>
      <c r="E74" s="164"/>
      <c r="F74" s="164"/>
      <c r="G74" s="91"/>
      <c r="H74" s="91"/>
      <c r="I74" s="91"/>
      <c r="J74" s="91"/>
      <c r="K74" s="160"/>
      <c r="L74" s="160"/>
      <c r="M74" s="160"/>
      <c r="N74" s="160"/>
      <c r="O74" s="160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</row>
    <row r="75">
      <c r="A75" s="164"/>
      <c r="B75" s="165"/>
      <c r="C75" s="165"/>
      <c r="D75" s="164"/>
      <c r="E75" s="164"/>
      <c r="F75" s="164"/>
      <c r="G75" s="91"/>
      <c r="H75" s="91"/>
      <c r="I75" s="91"/>
      <c r="J75" s="91"/>
      <c r="K75" s="160"/>
      <c r="L75" s="160"/>
      <c r="M75" s="160"/>
      <c r="N75" s="160"/>
      <c r="O75" s="160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</row>
    <row r="76">
      <c r="A76" s="164"/>
      <c r="B76" s="165"/>
      <c r="C76" s="165"/>
      <c r="D76" s="164"/>
      <c r="E76" s="164"/>
      <c r="F76" s="164"/>
      <c r="G76" s="91"/>
      <c r="H76" s="91"/>
      <c r="I76" s="91"/>
      <c r="J76" s="91"/>
      <c r="K76" s="160"/>
      <c r="L76" s="160"/>
      <c r="M76" s="160"/>
      <c r="N76" s="160"/>
      <c r="O76" s="160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</row>
    <row r="77">
      <c r="A77" s="164"/>
      <c r="B77" s="165"/>
      <c r="C77" s="165"/>
      <c r="D77" s="164"/>
      <c r="E77" s="164"/>
      <c r="F77" s="164"/>
      <c r="G77" s="91"/>
      <c r="H77" s="91"/>
      <c r="I77" s="91"/>
      <c r="J77" s="91"/>
      <c r="K77" s="160"/>
      <c r="L77" s="160"/>
      <c r="M77" s="160"/>
      <c r="N77" s="160"/>
      <c r="O77" s="160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</row>
    <row r="78">
      <c r="A78" s="164"/>
      <c r="B78" s="165"/>
      <c r="C78" s="165"/>
      <c r="D78" s="164"/>
      <c r="E78" s="164"/>
      <c r="F78" s="164"/>
      <c r="G78" s="91"/>
      <c r="H78" s="91"/>
      <c r="I78" s="91"/>
      <c r="J78" s="91"/>
      <c r="K78" s="160"/>
      <c r="L78" s="160"/>
      <c r="M78" s="160"/>
      <c r="N78" s="160"/>
      <c r="O78" s="160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</row>
    <row r="79">
      <c r="A79" s="164"/>
      <c r="B79" s="165"/>
      <c r="C79" s="165"/>
      <c r="D79" s="164"/>
      <c r="E79" s="164"/>
      <c r="F79" s="164"/>
      <c r="G79" s="91"/>
      <c r="H79" s="91"/>
      <c r="I79" s="91"/>
      <c r="J79" s="91"/>
      <c r="K79" s="160"/>
      <c r="L79" s="160"/>
      <c r="M79" s="160"/>
      <c r="N79" s="160"/>
      <c r="O79" s="160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</row>
    <row r="80">
      <c r="A80" s="164"/>
      <c r="B80" s="165"/>
      <c r="C80" s="165"/>
      <c r="D80" s="164"/>
      <c r="E80" s="164"/>
      <c r="F80" s="164"/>
      <c r="G80" s="91"/>
      <c r="H80" s="91"/>
      <c r="I80" s="91"/>
      <c r="J80" s="91"/>
      <c r="K80" s="160"/>
      <c r="L80" s="160"/>
      <c r="M80" s="160"/>
      <c r="N80" s="160"/>
      <c r="O80" s="160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</row>
    <row r="81">
      <c r="A81" s="164"/>
      <c r="B81" s="165"/>
      <c r="C81" s="165"/>
      <c r="D81" s="164"/>
      <c r="E81" s="164"/>
      <c r="F81" s="164"/>
      <c r="G81" s="91"/>
      <c r="H81" s="91"/>
      <c r="I81" s="91"/>
      <c r="J81" s="91"/>
      <c r="K81" s="160"/>
      <c r="L81" s="160"/>
      <c r="M81" s="160"/>
      <c r="N81" s="160"/>
      <c r="O81" s="160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</row>
    <row r="82">
      <c r="A82" s="164"/>
      <c r="B82" s="165"/>
      <c r="C82" s="165"/>
      <c r="D82" s="164"/>
      <c r="E82" s="164"/>
      <c r="F82" s="164"/>
      <c r="G82" s="91"/>
      <c r="H82" s="91"/>
      <c r="I82" s="91"/>
      <c r="J82" s="91"/>
      <c r="K82" s="160"/>
      <c r="L82" s="160"/>
      <c r="M82" s="160"/>
      <c r="N82" s="160"/>
      <c r="O82" s="160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</row>
    <row r="83">
      <c r="A83" s="164"/>
      <c r="B83" s="165"/>
      <c r="C83" s="165"/>
      <c r="D83" s="164"/>
      <c r="E83" s="164"/>
      <c r="F83" s="164"/>
      <c r="G83" s="91"/>
      <c r="H83" s="91"/>
      <c r="I83" s="91"/>
      <c r="J83" s="91"/>
      <c r="K83" s="160"/>
      <c r="L83" s="160"/>
      <c r="M83" s="160"/>
      <c r="N83" s="160"/>
      <c r="O83" s="160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</row>
    <row r="84">
      <c r="A84" s="164"/>
      <c r="B84" s="165"/>
      <c r="C84" s="165"/>
      <c r="D84" s="164"/>
      <c r="E84" s="164"/>
      <c r="F84" s="164"/>
      <c r="G84" s="91"/>
      <c r="H84" s="91"/>
      <c r="I84" s="91"/>
      <c r="J84" s="91"/>
      <c r="K84" s="160"/>
      <c r="L84" s="160"/>
      <c r="M84" s="160"/>
      <c r="N84" s="160"/>
      <c r="O84" s="160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</row>
    <row r="85">
      <c r="A85" s="164"/>
      <c r="B85" s="165"/>
      <c r="C85" s="165"/>
      <c r="D85" s="164"/>
      <c r="E85" s="164"/>
      <c r="F85" s="164"/>
      <c r="G85" s="91"/>
      <c r="H85" s="91"/>
      <c r="I85" s="91"/>
      <c r="J85" s="91"/>
      <c r="K85" s="160"/>
      <c r="L85" s="160"/>
      <c r="M85" s="160"/>
      <c r="N85" s="160"/>
      <c r="O85" s="160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</row>
    <row r="86">
      <c r="A86" s="164"/>
      <c r="B86" s="165"/>
      <c r="C86" s="165"/>
      <c r="D86" s="164"/>
      <c r="E86" s="164"/>
      <c r="F86" s="164"/>
      <c r="G86" s="91"/>
      <c r="H86" s="91"/>
      <c r="I86" s="91"/>
      <c r="J86" s="91"/>
      <c r="K86" s="160"/>
      <c r="L86" s="160"/>
      <c r="M86" s="160"/>
      <c r="N86" s="160"/>
      <c r="O86" s="160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</row>
    <row r="87">
      <c r="A87" s="164"/>
      <c r="B87" s="165"/>
      <c r="C87" s="165"/>
      <c r="D87" s="164"/>
      <c r="E87" s="164"/>
      <c r="F87" s="164"/>
      <c r="G87" s="91"/>
      <c r="H87" s="91"/>
      <c r="I87" s="91"/>
      <c r="J87" s="91"/>
      <c r="K87" s="160"/>
      <c r="L87" s="160"/>
      <c r="M87" s="160"/>
      <c r="N87" s="160"/>
      <c r="O87" s="160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</row>
    <row r="88">
      <c r="A88" s="164"/>
      <c r="B88" s="165"/>
      <c r="C88" s="165"/>
      <c r="D88" s="164"/>
      <c r="E88" s="164"/>
      <c r="F88" s="164"/>
      <c r="G88" s="91"/>
      <c r="H88" s="91"/>
      <c r="I88" s="91"/>
      <c r="J88" s="91"/>
      <c r="K88" s="160"/>
      <c r="L88" s="160"/>
      <c r="M88" s="160"/>
      <c r="N88" s="160"/>
      <c r="O88" s="160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</row>
    <row r="89">
      <c r="A89" s="164"/>
      <c r="B89" s="165"/>
      <c r="C89" s="165"/>
      <c r="D89" s="164"/>
      <c r="E89" s="164"/>
      <c r="F89" s="164"/>
      <c r="G89" s="91"/>
      <c r="H89" s="91"/>
      <c r="I89" s="91"/>
      <c r="J89" s="91"/>
      <c r="K89" s="160"/>
      <c r="L89" s="160"/>
      <c r="M89" s="160"/>
      <c r="N89" s="160"/>
      <c r="O89" s="160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</row>
    <row r="90">
      <c r="A90" s="164"/>
      <c r="B90" s="165"/>
      <c r="C90" s="165"/>
      <c r="D90" s="164"/>
      <c r="E90" s="164"/>
      <c r="F90" s="164"/>
      <c r="G90" s="91"/>
      <c r="H90" s="91"/>
      <c r="I90" s="91"/>
      <c r="J90" s="91"/>
      <c r="K90" s="160"/>
      <c r="L90" s="160"/>
      <c r="M90" s="160"/>
      <c r="N90" s="160"/>
      <c r="O90" s="160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</row>
    <row r="91">
      <c r="A91" s="164"/>
      <c r="B91" s="165"/>
      <c r="C91" s="165"/>
      <c r="D91" s="164"/>
      <c r="E91" s="164"/>
      <c r="F91" s="164"/>
      <c r="G91" s="91"/>
      <c r="H91" s="91"/>
      <c r="I91" s="91"/>
      <c r="J91" s="91"/>
      <c r="K91" s="160"/>
      <c r="L91" s="160"/>
      <c r="M91" s="160"/>
      <c r="N91" s="160"/>
      <c r="O91" s="160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1"/>
      <c r="AN91" s="91"/>
    </row>
    <row r="92">
      <c r="A92" s="164"/>
      <c r="B92" s="165"/>
      <c r="C92" s="165"/>
      <c r="D92" s="164"/>
      <c r="E92" s="164"/>
      <c r="F92" s="164"/>
      <c r="G92" s="91"/>
      <c r="H92" s="91"/>
      <c r="I92" s="91"/>
      <c r="J92" s="91"/>
      <c r="K92" s="160"/>
      <c r="L92" s="160"/>
      <c r="M92" s="160"/>
      <c r="N92" s="160"/>
      <c r="O92" s="160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</row>
    <row r="93">
      <c r="A93" s="164"/>
      <c r="B93" s="165"/>
      <c r="C93" s="165"/>
      <c r="D93" s="164"/>
      <c r="E93" s="164"/>
      <c r="F93" s="164"/>
      <c r="G93" s="91"/>
      <c r="H93" s="91"/>
      <c r="I93" s="91"/>
      <c r="J93" s="91"/>
      <c r="K93" s="160"/>
      <c r="L93" s="160"/>
      <c r="M93" s="160"/>
      <c r="N93" s="160"/>
      <c r="O93" s="160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</row>
    <row r="94">
      <c r="A94" s="164"/>
      <c r="B94" s="165"/>
      <c r="C94" s="165"/>
      <c r="D94" s="164"/>
      <c r="E94" s="164"/>
      <c r="F94" s="164"/>
      <c r="G94" s="91"/>
      <c r="H94" s="91"/>
      <c r="I94" s="91"/>
      <c r="J94" s="91"/>
      <c r="K94" s="160"/>
      <c r="L94" s="160"/>
      <c r="M94" s="160"/>
      <c r="N94" s="160"/>
      <c r="O94" s="160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</row>
    <row r="95">
      <c r="A95" s="164"/>
      <c r="B95" s="165"/>
      <c r="C95" s="165"/>
      <c r="D95" s="164"/>
      <c r="E95" s="164"/>
      <c r="F95" s="164"/>
      <c r="G95" s="91"/>
      <c r="H95" s="91"/>
      <c r="I95" s="91"/>
      <c r="J95" s="91"/>
      <c r="K95" s="160"/>
      <c r="L95" s="160"/>
      <c r="M95" s="160"/>
      <c r="N95" s="160"/>
      <c r="O95" s="160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</row>
    <row r="96">
      <c r="A96" s="164"/>
      <c r="B96" s="165"/>
      <c r="C96" s="165"/>
      <c r="D96" s="164"/>
      <c r="E96" s="164"/>
      <c r="F96" s="164"/>
      <c r="G96" s="91"/>
      <c r="H96" s="91"/>
      <c r="I96" s="91"/>
      <c r="J96" s="91"/>
      <c r="K96" s="160"/>
      <c r="L96" s="160"/>
      <c r="M96" s="160"/>
      <c r="N96" s="160"/>
      <c r="O96" s="160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</row>
    <row r="97">
      <c r="A97" s="164"/>
      <c r="B97" s="165"/>
      <c r="C97" s="165"/>
      <c r="D97" s="164"/>
      <c r="E97" s="164"/>
      <c r="F97" s="164"/>
      <c r="G97" s="91"/>
      <c r="H97" s="91"/>
      <c r="I97" s="91"/>
      <c r="J97" s="91"/>
      <c r="K97" s="160"/>
      <c r="L97" s="160"/>
      <c r="M97" s="160"/>
      <c r="N97" s="160"/>
      <c r="O97" s="160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</row>
    <row r="98">
      <c r="A98" s="164"/>
      <c r="B98" s="165"/>
      <c r="C98" s="165"/>
      <c r="D98" s="164"/>
      <c r="E98" s="164"/>
      <c r="F98" s="164"/>
      <c r="G98" s="91"/>
      <c r="H98" s="91"/>
      <c r="I98" s="91"/>
      <c r="J98" s="91"/>
      <c r="K98" s="160"/>
      <c r="L98" s="160"/>
      <c r="M98" s="160"/>
      <c r="N98" s="160"/>
      <c r="O98" s="160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1"/>
      <c r="AN98" s="91"/>
    </row>
    <row r="99">
      <c r="A99" s="164"/>
      <c r="B99" s="165"/>
      <c r="C99" s="165"/>
      <c r="D99" s="164"/>
      <c r="E99" s="164"/>
      <c r="F99" s="164"/>
      <c r="G99" s="91"/>
      <c r="H99" s="91"/>
      <c r="I99" s="91"/>
      <c r="J99" s="91"/>
      <c r="K99" s="160"/>
      <c r="L99" s="160"/>
      <c r="M99" s="160"/>
      <c r="N99" s="160"/>
      <c r="O99" s="160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</row>
    <row r="100">
      <c r="A100" s="164"/>
      <c r="B100" s="165"/>
      <c r="C100" s="165"/>
      <c r="D100" s="164"/>
      <c r="E100" s="164"/>
      <c r="F100" s="164"/>
      <c r="G100" s="91"/>
      <c r="H100" s="91"/>
      <c r="I100" s="91"/>
      <c r="J100" s="91"/>
      <c r="K100" s="160"/>
      <c r="L100" s="160"/>
      <c r="M100" s="160"/>
      <c r="N100" s="160"/>
      <c r="O100" s="160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91"/>
    </row>
    <row r="101">
      <c r="A101" s="164"/>
      <c r="B101" s="165"/>
      <c r="C101" s="165"/>
      <c r="D101" s="164"/>
      <c r="E101" s="164"/>
      <c r="F101" s="164"/>
      <c r="G101" s="91"/>
      <c r="H101" s="91"/>
      <c r="I101" s="91"/>
      <c r="J101" s="91"/>
      <c r="K101" s="160"/>
      <c r="L101" s="160"/>
      <c r="M101" s="160"/>
      <c r="N101" s="160"/>
      <c r="O101" s="160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</row>
    <row r="102">
      <c r="A102" s="164"/>
      <c r="B102" s="165"/>
      <c r="C102" s="165"/>
      <c r="D102" s="164"/>
      <c r="E102" s="164"/>
      <c r="F102" s="164"/>
      <c r="G102" s="91"/>
      <c r="H102" s="91"/>
      <c r="I102" s="91"/>
      <c r="J102" s="91"/>
      <c r="K102" s="160"/>
      <c r="L102" s="160"/>
      <c r="M102" s="160"/>
      <c r="N102" s="160"/>
      <c r="O102" s="160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</row>
    <row r="103">
      <c r="A103" s="164"/>
      <c r="B103" s="165"/>
      <c r="C103" s="165"/>
      <c r="D103" s="164"/>
      <c r="E103" s="164"/>
      <c r="F103" s="164"/>
      <c r="G103" s="91"/>
      <c r="H103" s="91"/>
      <c r="I103" s="91"/>
      <c r="J103" s="91"/>
      <c r="K103" s="160"/>
      <c r="L103" s="160"/>
      <c r="M103" s="160"/>
      <c r="N103" s="160"/>
      <c r="O103" s="160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  <c r="AJ103" s="91"/>
      <c r="AK103" s="91"/>
      <c r="AL103" s="91"/>
      <c r="AM103" s="91"/>
      <c r="AN103" s="91"/>
    </row>
    <row r="104">
      <c r="A104" s="164"/>
      <c r="B104" s="165"/>
      <c r="C104" s="165"/>
      <c r="D104" s="164"/>
      <c r="E104" s="164"/>
      <c r="F104" s="164"/>
      <c r="G104" s="91"/>
      <c r="H104" s="91"/>
      <c r="I104" s="91"/>
      <c r="J104" s="91"/>
      <c r="K104" s="160"/>
      <c r="L104" s="160"/>
      <c r="M104" s="160"/>
      <c r="N104" s="160"/>
      <c r="O104" s="160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</row>
    <row r="105">
      <c r="A105" s="164"/>
      <c r="B105" s="165"/>
      <c r="C105" s="165"/>
      <c r="D105" s="164"/>
      <c r="E105" s="164"/>
      <c r="F105" s="164"/>
      <c r="G105" s="91"/>
      <c r="H105" s="91"/>
      <c r="I105" s="91"/>
      <c r="J105" s="91"/>
      <c r="K105" s="160"/>
      <c r="L105" s="160"/>
      <c r="M105" s="160"/>
      <c r="N105" s="160"/>
      <c r="O105" s="160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</row>
    <row r="106">
      <c r="A106" s="164"/>
      <c r="B106" s="165"/>
      <c r="C106" s="165"/>
      <c r="D106" s="164"/>
      <c r="E106" s="164"/>
      <c r="F106" s="164"/>
      <c r="G106" s="91"/>
      <c r="H106" s="91"/>
      <c r="I106" s="91"/>
      <c r="J106" s="91"/>
      <c r="K106" s="160"/>
      <c r="L106" s="160"/>
      <c r="M106" s="160"/>
      <c r="N106" s="160"/>
      <c r="O106" s="160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</row>
    <row r="107">
      <c r="A107" s="164"/>
      <c r="B107" s="165"/>
      <c r="C107" s="165"/>
      <c r="D107" s="164"/>
      <c r="E107" s="164"/>
      <c r="F107" s="164"/>
      <c r="G107" s="91"/>
      <c r="H107" s="91"/>
      <c r="I107" s="91"/>
      <c r="J107" s="91"/>
      <c r="K107" s="160"/>
      <c r="L107" s="160"/>
      <c r="M107" s="160"/>
      <c r="N107" s="160"/>
      <c r="O107" s="160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  <c r="AM107" s="91"/>
      <c r="AN107" s="91"/>
    </row>
    <row r="108">
      <c r="A108" s="164"/>
      <c r="B108" s="165"/>
      <c r="C108" s="165"/>
      <c r="D108" s="164"/>
      <c r="E108" s="164"/>
      <c r="F108" s="164"/>
      <c r="G108" s="91"/>
      <c r="H108" s="91"/>
      <c r="I108" s="91"/>
      <c r="J108" s="91"/>
      <c r="K108" s="160"/>
      <c r="L108" s="160"/>
      <c r="M108" s="160"/>
      <c r="N108" s="160"/>
      <c r="O108" s="160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</row>
    <row r="109">
      <c r="A109" s="164"/>
      <c r="B109" s="165"/>
      <c r="C109" s="165"/>
      <c r="D109" s="164"/>
      <c r="E109" s="164"/>
      <c r="F109" s="164"/>
      <c r="G109" s="91"/>
      <c r="H109" s="91"/>
      <c r="I109" s="91"/>
      <c r="J109" s="91"/>
      <c r="K109" s="160"/>
      <c r="L109" s="160"/>
      <c r="M109" s="160"/>
      <c r="N109" s="160"/>
      <c r="O109" s="160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</row>
    <row r="110">
      <c r="A110" s="164"/>
      <c r="B110" s="165"/>
      <c r="C110" s="165"/>
      <c r="D110" s="164"/>
      <c r="E110" s="164"/>
      <c r="F110" s="164"/>
      <c r="G110" s="91"/>
      <c r="H110" s="91"/>
      <c r="I110" s="91"/>
      <c r="J110" s="91"/>
      <c r="K110" s="160"/>
      <c r="L110" s="160"/>
      <c r="M110" s="160"/>
      <c r="N110" s="160"/>
      <c r="O110" s="160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H110" s="91"/>
      <c r="AI110" s="91"/>
      <c r="AJ110" s="91"/>
      <c r="AK110" s="91"/>
      <c r="AL110" s="91"/>
      <c r="AM110" s="91"/>
      <c r="AN110" s="91"/>
    </row>
    <row r="111">
      <c r="A111" s="164"/>
      <c r="B111" s="165"/>
      <c r="C111" s="165"/>
      <c r="D111" s="164"/>
      <c r="E111" s="164"/>
      <c r="F111" s="164"/>
      <c r="G111" s="91"/>
      <c r="H111" s="91"/>
      <c r="I111" s="91"/>
      <c r="J111" s="91"/>
      <c r="K111" s="160"/>
      <c r="L111" s="160"/>
      <c r="M111" s="160"/>
      <c r="N111" s="160"/>
      <c r="O111" s="160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1"/>
      <c r="AN111" s="91"/>
    </row>
    <row r="112">
      <c r="A112" s="164"/>
      <c r="B112" s="165"/>
      <c r="C112" s="165"/>
      <c r="D112" s="164"/>
      <c r="E112" s="164"/>
      <c r="F112" s="164"/>
      <c r="G112" s="91"/>
      <c r="H112" s="91"/>
      <c r="I112" s="91"/>
      <c r="J112" s="91"/>
      <c r="K112" s="160"/>
      <c r="L112" s="160"/>
      <c r="M112" s="160"/>
      <c r="N112" s="160"/>
      <c r="O112" s="160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</row>
    <row r="113">
      <c r="A113" s="164"/>
      <c r="B113" s="165"/>
      <c r="C113" s="165"/>
      <c r="D113" s="164"/>
      <c r="E113" s="164"/>
      <c r="F113" s="164"/>
      <c r="G113" s="91"/>
      <c r="H113" s="91"/>
      <c r="I113" s="91"/>
      <c r="J113" s="91"/>
      <c r="K113" s="160"/>
      <c r="L113" s="160"/>
      <c r="M113" s="160"/>
      <c r="N113" s="160"/>
      <c r="O113" s="160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91"/>
      <c r="AK113" s="91"/>
      <c r="AL113" s="91"/>
      <c r="AM113" s="91"/>
      <c r="AN113" s="91"/>
    </row>
    <row r="114">
      <c r="A114" s="164"/>
      <c r="B114" s="165"/>
      <c r="C114" s="165"/>
      <c r="D114" s="164"/>
      <c r="E114" s="164"/>
      <c r="F114" s="164"/>
      <c r="G114" s="91"/>
      <c r="H114" s="91"/>
      <c r="I114" s="91"/>
      <c r="J114" s="91"/>
      <c r="K114" s="160"/>
      <c r="L114" s="160"/>
      <c r="M114" s="160"/>
      <c r="N114" s="160"/>
      <c r="O114" s="160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  <c r="AM114" s="91"/>
      <c r="AN114" s="91"/>
    </row>
    <row r="115">
      <c r="A115" s="164"/>
      <c r="B115" s="165"/>
      <c r="C115" s="165"/>
      <c r="D115" s="164"/>
      <c r="E115" s="164"/>
      <c r="F115" s="164"/>
      <c r="G115" s="91"/>
      <c r="H115" s="91"/>
      <c r="I115" s="91"/>
      <c r="J115" s="91"/>
      <c r="K115" s="160"/>
      <c r="L115" s="160"/>
      <c r="M115" s="160"/>
      <c r="N115" s="160"/>
      <c r="O115" s="160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  <c r="AM115" s="91"/>
      <c r="AN115" s="91"/>
    </row>
    <row r="116">
      <c r="A116" s="164"/>
      <c r="B116" s="165"/>
      <c r="C116" s="165"/>
      <c r="D116" s="164"/>
      <c r="E116" s="164"/>
      <c r="F116" s="164"/>
      <c r="G116" s="91"/>
      <c r="H116" s="91"/>
      <c r="I116" s="91"/>
      <c r="J116" s="91"/>
      <c r="K116" s="160"/>
      <c r="L116" s="160"/>
      <c r="M116" s="160"/>
      <c r="N116" s="160"/>
      <c r="O116" s="160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91"/>
      <c r="AM116" s="91"/>
      <c r="AN116" s="91"/>
    </row>
    <row r="117">
      <c r="A117" s="164"/>
      <c r="B117" s="165"/>
      <c r="C117" s="165"/>
      <c r="D117" s="164"/>
      <c r="E117" s="164"/>
      <c r="F117" s="164"/>
      <c r="G117" s="91"/>
      <c r="H117" s="91"/>
      <c r="I117" s="91"/>
      <c r="J117" s="91"/>
      <c r="K117" s="160"/>
      <c r="L117" s="160"/>
      <c r="M117" s="160"/>
      <c r="N117" s="160"/>
      <c r="O117" s="160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91"/>
      <c r="AM117" s="91"/>
      <c r="AN117" s="91"/>
    </row>
    <row r="118">
      <c r="A118" s="164"/>
      <c r="B118" s="165"/>
      <c r="C118" s="165"/>
      <c r="D118" s="164"/>
      <c r="E118" s="164"/>
      <c r="F118" s="164"/>
      <c r="G118" s="91"/>
      <c r="H118" s="91"/>
      <c r="I118" s="91"/>
      <c r="J118" s="91"/>
      <c r="K118" s="160"/>
      <c r="L118" s="160"/>
      <c r="M118" s="160"/>
      <c r="N118" s="160"/>
      <c r="O118" s="160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91"/>
      <c r="AM118" s="91"/>
      <c r="AN118" s="91"/>
    </row>
    <row r="119">
      <c r="A119" s="164"/>
      <c r="B119" s="165"/>
      <c r="C119" s="165"/>
      <c r="D119" s="164"/>
      <c r="E119" s="164"/>
      <c r="F119" s="164"/>
      <c r="G119" s="91"/>
      <c r="H119" s="91"/>
      <c r="I119" s="91"/>
      <c r="J119" s="91"/>
      <c r="K119" s="160"/>
      <c r="L119" s="160"/>
      <c r="M119" s="160"/>
      <c r="N119" s="160"/>
      <c r="O119" s="160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91"/>
      <c r="AM119" s="91"/>
      <c r="AN119" s="91"/>
    </row>
    <row r="120">
      <c r="A120" s="164"/>
      <c r="B120" s="165"/>
      <c r="C120" s="165"/>
      <c r="D120" s="164"/>
      <c r="E120" s="164"/>
      <c r="F120" s="164"/>
      <c r="G120" s="91"/>
      <c r="H120" s="91"/>
      <c r="I120" s="91"/>
      <c r="J120" s="91"/>
      <c r="K120" s="160"/>
      <c r="L120" s="160"/>
      <c r="M120" s="160"/>
      <c r="N120" s="160"/>
      <c r="O120" s="160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91"/>
      <c r="AI120" s="91"/>
      <c r="AJ120" s="91"/>
      <c r="AK120" s="91"/>
      <c r="AL120" s="91"/>
      <c r="AM120" s="91"/>
      <c r="AN120" s="91"/>
    </row>
    <row r="121">
      <c r="A121" s="164"/>
      <c r="B121" s="165"/>
      <c r="C121" s="165"/>
      <c r="D121" s="164"/>
      <c r="E121" s="164"/>
      <c r="F121" s="164"/>
      <c r="G121" s="91"/>
      <c r="H121" s="91"/>
      <c r="I121" s="91"/>
      <c r="J121" s="91"/>
      <c r="K121" s="160"/>
      <c r="L121" s="160"/>
      <c r="M121" s="160"/>
      <c r="N121" s="160"/>
      <c r="O121" s="160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91"/>
      <c r="AM121" s="91"/>
      <c r="AN121" s="91"/>
    </row>
    <row r="122">
      <c r="A122" s="164"/>
      <c r="B122" s="165"/>
      <c r="C122" s="165"/>
      <c r="D122" s="164"/>
      <c r="E122" s="164"/>
      <c r="F122" s="164"/>
      <c r="G122" s="91"/>
      <c r="H122" s="91"/>
      <c r="I122" s="91"/>
      <c r="J122" s="91"/>
      <c r="K122" s="160"/>
      <c r="L122" s="160"/>
      <c r="M122" s="160"/>
      <c r="N122" s="160"/>
      <c r="O122" s="160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  <c r="AL122" s="91"/>
      <c r="AM122" s="91"/>
      <c r="AN122" s="91"/>
    </row>
    <row r="123">
      <c r="A123" s="164"/>
      <c r="B123" s="165"/>
      <c r="C123" s="165"/>
      <c r="D123" s="164"/>
      <c r="E123" s="164"/>
      <c r="F123" s="164"/>
      <c r="G123" s="91"/>
      <c r="H123" s="91"/>
      <c r="I123" s="91"/>
      <c r="J123" s="91"/>
      <c r="K123" s="160"/>
      <c r="L123" s="160"/>
      <c r="M123" s="160"/>
      <c r="N123" s="160"/>
      <c r="O123" s="160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  <c r="AL123" s="91"/>
      <c r="AM123" s="91"/>
      <c r="AN123" s="91"/>
    </row>
    <row r="124">
      <c r="A124" s="164"/>
      <c r="B124" s="165"/>
      <c r="C124" s="165"/>
      <c r="D124" s="164"/>
      <c r="E124" s="164"/>
      <c r="F124" s="164"/>
      <c r="G124" s="91"/>
      <c r="H124" s="91"/>
      <c r="I124" s="91"/>
      <c r="J124" s="91"/>
      <c r="K124" s="160"/>
      <c r="L124" s="160"/>
      <c r="M124" s="160"/>
      <c r="N124" s="160"/>
      <c r="O124" s="160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91"/>
      <c r="AM124" s="91"/>
      <c r="AN124" s="91"/>
    </row>
    <row r="125">
      <c r="A125" s="164"/>
      <c r="B125" s="165"/>
      <c r="C125" s="165"/>
      <c r="D125" s="164"/>
      <c r="E125" s="164"/>
      <c r="F125" s="164"/>
      <c r="G125" s="91"/>
      <c r="H125" s="91"/>
      <c r="I125" s="91"/>
      <c r="J125" s="91"/>
      <c r="K125" s="160"/>
      <c r="L125" s="160"/>
      <c r="M125" s="160"/>
      <c r="N125" s="160"/>
      <c r="O125" s="160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  <c r="AL125" s="91"/>
      <c r="AM125" s="91"/>
      <c r="AN125" s="91"/>
    </row>
    <row r="126">
      <c r="A126" s="164"/>
      <c r="B126" s="165"/>
      <c r="C126" s="165"/>
      <c r="D126" s="164"/>
      <c r="E126" s="164"/>
      <c r="F126" s="164"/>
      <c r="G126" s="91"/>
      <c r="H126" s="91"/>
      <c r="I126" s="91"/>
      <c r="J126" s="91"/>
      <c r="K126" s="160"/>
      <c r="L126" s="160"/>
      <c r="M126" s="160"/>
      <c r="N126" s="160"/>
      <c r="O126" s="160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  <c r="AL126" s="91"/>
      <c r="AM126" s="91"/>
      <c r="AN126" s="91"/>
    </row>
    <row r="127">
      <c r="A127" s="164"/>
      <c r="B127" s="165"/>
      <c r="C127" s="165"/>
      <c r="D127" s="164"/>
      <c r="E127" s="164"/>
      <c r="F127" s="164"/>
      <c r="G127" s="91"/>
      <c r="H127" s="91"/>
      <c r="I127" s="91"/>
      <c r="J127" s="91"/>
      <c r="K127" s="160"/>
      <c r="L127" s="160"/>
      <c r="M127" s="160"/>
      <c r="N127" s="160"/>
      <c r="O127" s="160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  <c r="AG127" s="91"/>
      <c r="AH127" s="91"/>
      <c r="AI127" s="91"/>
      <c r="AJ127" s="91"/>
      <c r="AK127" s="91"/>
      <c r="AL127" s="91"/>
      <c r="AM127" s="91"/>
      <c r="AN127" s="91"/>
    </row>
    <row r="128">
      <c r="A128" s="164"/>
      <c r="B128" s="165"/>
      <c r="C128" s="165"/>
      <c r="D128" s="164"/>
      <c r="E128" s="164"/>
      <c r="F128" s="164"/>
      <c r="G128" s="91"/>
      <c r="H128" s="91"/>
      <c r="I128" s="91"/>
      <c r="J128" s="91"/>
      <c r="K128" s="160"/>
      <c r="L128" s="160"/>
      <c r="M128" s="160"/>
      <c r="N128" s="160"/>
      <c r="O128" s="160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  <c r="AL128" s="91"/>
      <c r="AM128" s="91"/>
      <c r="AN128" s="91"/>
    </row>
    <row r="129">
      <c r="A129" s="164"/>
      <c r="B129" s="165"/>
      <c r="C129" s="165"/>
      <c r="D129" s="164"/>
      <c r="E129" s="164"/>
      <c r="F129" s="164"/>
      <c r="G129" s="91"/>
      <c r="H129" s="91"/>
      <c r="I129" s="91"/>
      <c r="J129" s="91"/>
      <c r="K129" s="160"/>
      <c r="L129" s="160"/>
      <c r="M129" s="160"/>
      <c r="N129" s="160"/>
      <c r="O129" s="160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  <c r="AL129" s="91"/>
      <c r="AM129" s="91"/>
      <c r="AN129" s="91"/>
    </row>
    <row r="130">
      <c r="A130" s="164"/>
      <c r="B130" s="165"/>
      <c r="C130" s="165"/>
      <c r="D130" s="164"/>
      <c r="E130" s="164"/>
      <c r="F130" s="164"/>
      <c r="G130" s="91"/>
      <c r="H130" s="91"/>
      <c r="I130" s="91"/>
      <c r="J130" s="91"/>
      <c r="K130" s="160"/>
      <c r="L130" s="160"/>
      <c r="M130" s="160"/>
      <c r="N130" s="160"/>
      <c r="O130" s="160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  <c r="AL130" s="91"/>
      <c r="AM130" s="91"/>
      <c r="AN130" s="91"/>
    </row>
    <row r="131">
      <c r="A131" s="164"/>
      <c r="B131" s="165"/>
      <c r="C131" s="165"/>
      <c r="D131" s="164"/>
      <c r="E131" s="164"/>
      <c r="F131" s="164"/>
      <c r="G131" s="91"/>
      <c r="H131" s="91"/>
      <c r="I131" s="91"/>
      <c r="J131" s="91"/>
      <c r="K131" s="160"/>
      <c r="L131" s="160"/>
      <c r="M131" s="160"/>
      <c r="N131" s="160"/>
      <c r="O131" s="160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  <c r="AH131" s="91"/>
      <c r="AI131" s="91"/>
      <c r="AJ131" s="91"/>
      <c r="AK131" s="91"/>
      <c r="AL131" s="91"/>
      <c r="AM131" s="91"/>
      <c r="AN131" s="91"/>
    </row>
    <row r="132">
      <c r="A132" s="164"/>
      <c r="B132" s="165"/>
      <c r="C132" s="165"/>
      <c r="D132" s="164"/>
      <c r="E132" s="164"/>
      <c r="F132" s="164"/>
      <c r="G132" s="91"/>
      <c r="H132" s="91"/>
      <c r="I132" s="91"/>
      <c r="J132" s="91"/>
      <c r="K132" s="160"/>
      <c r="L132" s="160"/>
      <c r="M132" s="160"/>
      <c r="N132" s="160"/>
      <c r="O132" s="160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  <c r="AL132" s="91"/>
      <c r="AM132" s="91"/>
      <c r="AN132" s="91"/>
    </row>
    <row r="133">
      <c r="A133" s="164"/>
      <c r="B133" s="165"/>
      <c r="C133" s="165"/>
      <c r="D133" s="164"/>
      <c r="E133" s="164"/>
      <c r="F133" s="164"/>
      <c r="G133" s="91"/>
      <c r="H133" s="91"/>
      <c r="I133" s="91"/>
      <c r="J133" s="91"/>
      <c r="K133" s="160"/>
      <c r="L133" s="160"/>
      <c r="M133" s="160"/>
      <c r="N133" s="160"/>
      <c r="O133" s="160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91"/>
      <c r="AM133" s="91"/>
      <c r="AN133" s="91"/>
    </row>
    <row r="134">
      <c r="A134" s="164"/>
      <c r="B134" s="165"/>
      <c r="C134" s="165"/>
      <c r="D134" s="164"/>
      <c r="E134" s="164"/>
      <c r="F134" s="164"/>
      <c r="G134" s="91"/>
      <c r="H134" s="91"/>
      <c r="I134" s="91"/>
      <c r="J134" s="91"/>
      <c r="K134" s="160"/>
      <c r="L134" s="160"/>
      <c r="M134" s="160"/>
      <c r="N134" s="160"/>
      <c r="O134" s="160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91"/>
      <c r="AM134" s="91"/>
      <c r="AN134" s="91"/>
    </row>
    <row r="135">
      <c r="A135" s="164"/>
      <c r="B135" s="165"/>
      <c r="C135" s="165"/>
      <c r="D135" s="164"/>
      <c r="E135" s="164"/>
      <c r="F135" s="164"/>
      <c r="G135" s="91"/>
      <c r="H135" s="91"/>
      <c r="I135" s="91"/>
      <c r="J135" s="91"/>
      <c r="K135" s="160"/>
      <c r="L135" s="160"/>
      <c r="M135" s="160"/>
      <c r="N135" s="160"/>
      <c r="O135" s="160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91"/>
      <c r="AM135" s="91"/>
      <c r="AN135" s="91"/>
    </row>
    <row r="136">
      <c r="A136" s="164"/>
      <c r="B136" s="165"/>
      <c r="C136" s="165"/>
      <c r="D136" s="164"/>
      <c r="E136" s="164"/>
      <c r="F136" s="164"/>
      <c r="G136" s="91"/>
      <c r="H136" s="91"/>
      <c r="I136" s="91"/>
      <c r="J136" s="91"/>
      <c r="K136" s="160"/>
      <c r="L136" s="160"/>
      <c r="M136" s="160"/>
      <c r="N136" s="160"/>
      <c r="O136" s="160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91"/>
      <c r="AN136" s="91"/>
    </row>
    <row r="137">
      <c r="A137" s="164"/>
      <c r="B137" s="165"/>
      <c r="C137" s="165"/>
      <c r="D137" s="164"/>
      <c r="E137" s="164"/>
      <c r="F137" s="164"/>
      <c r="G137" s="91"/>
      <c r="H137" s="91"/>
      <c r="I137" s="91"/>
      <c r="J137" s="91"/>
      <c r="K137" s="160"/>
      <c r="L137" s="160"/>
      <c r="M137" s="160"/>
      <c r="N137" s="160"/>
      <c r="O137" s="160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91"/>
      <c r="AM137" s="91"/>
      <c r="AN137" s="91"/>
    </row>
    <row r="138">
      <c r="A138" s="164"/>
      <c r="B138" s="165"/>
      <c r="C138" s="165"/>
      <c r="D138" s="164"/>
      <c r="E138" s="164"/>
      <c r="F138" s="164"/>
      <c r="G138" s="91"/>
      <c r="H138" s="91"/>
      <c r="I138" s="91"/>
      <c r="J138" s="91"/>
      <c r="K138" s="160"/>
      <c r="L138" s="160"/>
      <c r="M138" s="160"/>
      <c r="N138" s="160"/>
      <c r="O138" s="160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91"/>
      <c r="AM138" s="91"/>
      <c r="AN138" s="91"/>
    </row>
    <row r="139">
      <c r="A139" s="164"/>
      <c r="B139" s="165"/>
      <c r="C139" s="165"/>
      <c r="D139" s="164"/>
      <c r="E139" s="164"/>
      <c r="F139" s="164"/>
      <c r="G139" s="91"/>
      <c r="H139" s="91"/>
      <c r="I139" s="91"/>
      <c r="J139" s="91"/>
      <c r="K139" s="160"/>
      <c r="L139" s="160"/>
      <c r="M139" s="160"/>
      <c r="N139" s="160"/>
      <c r="O139" s="160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  <c r="AL139" s="91"/>
      <c r="AM139" s="91"/>
      <c r="AN139" s="91"/>
    </row>
    <row r="140">
      <c r="A140" s="164"/>
      <c r="B140" s="165"/>
      <c r="C140" s="165"/>
      <c r="D140" s="164"/>
      <c r="E140" s="164"/>
      <c r="F140" s="164"/>
      <c r="G140" s="91"/>
      <c r="H140" s="91"/>
      <c r="I140" s="91"/>
      <c r="J140" s="91"/>
      <c r="K140" s="160"/>
      <c r="L140" s="160"/>
      <c r="M140" s="160"/>
      <c r="N140" s="160"/>
      <c r="O140" s="160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  <c r="AH140" s="91"/>
      <c r="AI140" s="91"/>
      <c r="AJ140" s="91"/>
      <c r="AK140" s="91"/>
      <c r="AL140" s="91"/>
      <c r="AM140" s="91"/>
      <c r="AN140" s="91"/>
    </row>
    <row r="141">
      <c r="A141" s="164"/>
      <c r="B141" s="165"/>
      <c r="C141" s="165"/>
      <c r="D141" s="164"/>
      <c r="E141" s="164"/>
      <c r="F141" s="164"/>
      <c r="G141" s="91"/>
      <c r="H141" s="91"/>
      <c r="I141" s="91"/>
      <c r="J141" s="91"/>
      <c r="K141" s="160"/>
      <c r="L141" s="160"/>
      <c r="M141" s="160"/>
      <c r="N141" s="160"/>
      <c r="O141" s="160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91"/>
      <c r="AH141" s="91"/>
      <c r="AI141" s="91"/>
      <c r="AJ141" s="91"/>
      <c r="AK141" s="91"/>
      <c r="AL141" s="91"/>
      <c r="AM141" s="91"/>
      <c r="AN141" s="91"/>
    </row>
    <row r="142">
      <c r="A142" s="164"/>
      <c r="B142" s="165"/>
      <c r="C142" s="165"/>
      <c r="D142" s="164"/>
      <c r="E142" s="164"/>
      <c r="F142" s="164"/>
      <c r="G142" s="91"/>
      <c r="H142" s="91"/>
      <c r="I142" s="91"/>
      <c r="J142" s="91"/>
      <c r="K142" s="160"/>
      <c r="L142" s="160"/>
      <c r="M142" s="160"/>
      <c r="N142" s="160"/>
      <c r="O142" s="160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91"/>
      <c r="AH142" s="91"/>
      <c r="AI142" s="91"/>
      <c r="AJ142" s="91"/>
      <c r="AK142" s="91"/>
      <c r="AL142" s="91"/>
      <c r="AM142" s="91"/>
      <c r="AN142" s="91"/>
    </row>
    <row r="143">
      <c r="A143" s="164"/>
      <c r="B143" s="165"/>
      <c r="C143" s="165"/>
      <c r="D143" s="164"/>
      <c r="E143" s="164"/>
      <c r="F143" s="164"/>
      <c r="G143" s="91"/>
      <c r="H143" s="91"/>
      <c r="I143" s="91"/>
      <c r="J143" s="91"/>
      <c r="K143" s="160"/>
      <c r="L143" s="160"/>
      <c r="M143" s="160"/>
      <c r="N143" s="160"/>
      <c r="O143" s="160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  <c r="AF143" s="91"/>
      <c r="AG143" s="91"/>
      <c r="AH143" s="91"/>
      <c r="AI143" s="91"/>
      <c r="AJ143" s="91"/>
      <c r="AK143" s="91"/>
      <c r="AL143" s="91"/>
      <c r="AM143" s="91"/>
      <c r="AN143" s="91"/>
    </row>
    <row r="144">
      <c r="A144" s="164"/>
      <c r="B144" s="165"/>
      <c r="C144" s="165"/>
      <c r="D144" s="164"/>
      <c r="E144" s="164"/>
      <c r="F144" s="164"/>
      <c r="G144" s="91"/>
      <c r="H144" s="91"/>
      <c r="I144" s="91"/>
      <c r="J144" s="91"/>
      <c r="K144" s="160"/>
      <c r="L144" s="160"/>
      <c r="M144" s="160"/>
      <c r="N144" s="160"/>
      <c r="O144" s="160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  <c r="AF144" s="91"/>
      <c r="AG144" s="91"/>
      <c r="AH144" s="91"/>
      <c r="AI144" s="91"/>
      <c r="AJ144" s="91"/>
      <c r="AK144" s="91"/>
      <c r="AL144" s="91"/>
      <c r="AM144" s="91"/>
      <c r="AN144" s="91"/>
    </row>
    <row r="145">
      <c r="A145" s="164"/>
      <c r="B145" s="165"/>
      <c r="C145" s="165"/>
      <c r="D145" s="164"/>
      <c r="E145" s="164"/>
      <c r="F145" s="164"/>
      <c r="G145" s="91"/>
      <c r="H145" s="91"/>
      <c r="I145" s="91"/>
      <c r="J145" s="91"/>
      <c r="K145" s="160"/>
      <c r="L145" s="160"/>
      <c r="M145" s="160"/>
      <c r="N145" s="160"/>
      <c r="O145" s="160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  <c r="AF145" s="91"/>
      <c r="AG145" s="91"/>
      <c r="AH145" s="91"/>
      <c r="AI145" s="91"/>
      <c r="AJ145" s="91"/>
      <c r="AK145" s="91"/>
      <c r="AL145" s="91"/>
      <c r="AM145" s="91"/>
      <c r="AN145" s="91"/>
    </row>
    <row r="146">
      <c r="A146" s="164"/>
      <c r="B146" s="165"/>
      <c r="C146" s="165"/>
      <c r="D146" s="164"/>
      <c r="E146" s="164"/>
      <c r="F146" s="164"/>
      <c r="G146" s="91"/>
      <c r="H146" s="91"/>
      <c r="I146" s="91"/>
      <c r="J146" s="91"/>
      <c r="K146" s="160"/>
      <c r="L146" s="160"/>
      <c r="M146" s="160"/>
      <c r="N146" s="160"/>
      <c r="O146" s="160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</row>
    <row r="147">
      <c r="A147" s="164"/>
      <c r="B147" s="165"/>
      <c r="C147" s="165"/>
      <c r="D147" s="164"/>
      <c r="E147" s="164"/>
      <c r="F147" s="164"/>
      <c r="G147" s="91"/>
      <c r="H147" s="91"/>
      <c r="I147" s="91"/>
      <c r="J147" s="91"/>
      <c r="K147" s="160"/>
      <c r="L147" s="160"/>
      <c r="M147" s="160"/>
      <c r="N147" s="160"/>
      <c r="O147" s="160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</row>
    <row r="148">
      <c r="A148" s="164"/>
      <c r="B148" s="165"/>
      <c r="C148" s="165"/>
      <c r="D148" s="164"/>
      <c r="E148" s="164"/>
      <c r="F148" s="164"/>
      <c r="G148" s="91"/>
      <c r="H148" s="91"/>
      <c r="I148" s="91"/>
      <c r="J148" s="91"/>
      <c r="K148" s="160"/>
      <c r="L148" s="160"/>
      <c r="M148" s="160"/>
      <c r="N148" s="160"/>
      <c r="O148" s="160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</row>
    <row r="149">
      <c r="A149" s="164"/>
      <c r="B149" s="165"/>
      <c r="C149" s="165"/>
      <c r="D149" s="164"/>
      <c r="E149" s="164"/>
      <c r="F149" s="164"/>
      <c r="G149" s="91"/>
      <c r="H149" s="91"/>
      <c r="I149" s="91"/>
      <c r="J149" s="91"/>
      <c r="K149" s="160"/>
      <c r="L149" s="160"/>
      <c r="M149" s="160"/>
      <c r="N149" s="160"/>
      <c r="O149" s="160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91"/>
      <c r="AG149" s="91"/>
      <c r="AH149" s="91"/>
      <c r="AI149" s="91"/>
      <c r="AJ149" s="91"/>
      <c r="AK149" s="91"/>
      <c r="AL149" s="91"/>
      <c r="AM149" s="91"/>
      <c r="AN149" s="91"/>
    </row>
    <row r="150">
      <c r="A150" s="164"/>
      <c r="B150" s="165"/>
      <c r="C150" s="165"/>
      <c r="D150" s="164"/>
      <c r="E150" s="164"/>
      <c r="F150" s="164"/>
      <c r="G150" s="91"/>
      <c r="H150" s="91"/>
      <c r="I150" s="91"/>
      <c r="J150" s="91"/>
      <c r="K150" s="160"/>
      <c r="L150" s="160"/>
      <c r="M150" s="160"/>
      <c r="N150" s="160"/>
      <c r="O150" s="160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  <c r="AG150" s="91"/>
      <c r="AH150" s="91"/>
      <c r="AI150" s="91"/>
      <c r="AJ150" s="91"/>
      <c r="AK150" s="91"/>
      <c r="AL150" s="91"/>
      <c r="AM150" s="91"/>
      <c r="AN150" s="91"/>
    </row>
    <row r="151">
      <c r="A151" s="164"/>
      <c r="B151" s="165"/>
      <c r="C151" s="165"/>
      <c r="D151" s="164"/>
      <c r="E151" s="164"/>
      <c r="F151" s="164"/>
      <c r="G151" s="91"/>
      <c r="H151" s="91"/>
      <c r="I151" s="91"/>
      <c r="J151" s="91"/>
      <c r="K151" s="160"/>
      <c r="L151" s="160"/>
      <c r="M151" s="160"/>
      <c r="N151" s="160"/>
      <c r="O151" s="160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  <c r="AF151" s="91"/>
      <c r="AG151" s="91"/>
      <c r="AH151" s="91"/>
      <c r="AI151" s="91"/>
      <c r="AJ151" s="91"/>
      <c r="AK151" s="91"/>
      <c r="AL151" s="91"/>
      <c r="AM151" s="91"/>
      <c r="AN151" s="91"/>
    </row>
    <row r="152">
      <c r="A152" s="164"/>
      <c r="B152" s="165"/>
      <c r="C152" s="165"/>
      <c r="D152" s="164"/>
      <c r="E152" s="164"/>
      <c r="F152" s="164"/>
      <c r="G152" s="91"/>
      <c r="H152" s="91"/>
      <c r="I152" s="91"/>
      <c r="J152" s="91"/>
      <c r="K152" s="160"/>
      <c r="L152" s="160"/>
      <c r="M152" s="160"/>
      <c r="N152" s="160"/>
      <c r="O152" s="160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  <c r="AG152" s="91"/>
      <c r="AH152" s="91"/>
      <c r="AI152" s="91"/>
      <c r="AJ152" s="91"/>
      <c r="AK152" s="91"/>
      <c r="AL152" s="91"/>
      <c r="AM152" s="91"/>
      <c r="AN152" s="91"/>
    </row>
    <row r="153">
      <c r="A153" s="164"/>
      <c r="B153" s="165"/>
      <c r="C153" s="165"/>
      <c r="D153" s="164"/>
      <c r="E153" s="164"/>
      <c r="F153" s="164"/>
      <c r="G153" s="91"/>
      <c r="H153" s="91"/>
      <c r="I153" s="91"/>
      <c r="J153" s="91"/>
      <c r="K153" s="160"/>
      <c r="L153" s="160"/>
      <c r="M153" s="160"/>
      <c r="N153" s="160"/>
      <c r="O153" s="160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  <c r="AF153" s="91"/>
      <c r="AG153" s="91"/>
      <c r="AH153" s="91"/>
      <c r="AI153" s="91"/>
      <c r="AJ153" s="91"/>
      <c r="AK153" s="91"/>
      <c r="AL153" s="91"/>
      <c r="AM153" s="91"/>
      <c r="AN153" s="91"/>
    </row>
    <row r="154">
      <c r="A154" s="164"/>
      <c r="B154" s="165"/>
      <c r="C154" s="165"/>
      <c r="D154" s="164"/>
      <c r="E154" s="164"/>
      <c r="F154" s="164"/>
      <c r="G154" s="91"/>
      <c r="H154" s="91"/>
      <c r="I154" s="91"/>
      <c r="J154" s="91"/>
      <c r="K154" s="160"/>
      <c r="L154" s="160"/>
      <c r="M154" s="160"/>
      <c r="N154" s="160"/>
      <c r="O154" s="160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  <c r="AE154" s="91"/>
      <c r="AF154" s="91"/>
      <c r="AG154" s="91"/>
      <c r="AH154" s="91"/>
      <c r="AI154" s="91"/>
      <c r="AJ154" s="91"/>
      <c r="AK154" s="91"/>
      <c r="AL154" s="91"/>
      <c r="AM154" s="91"/>
      <c r="AN154" s="91"/>
    </row>
    <row r="155">
      <c r="A155" s="164"/>
      <c r="B155" s="165"/>
      <c r="C155" s="165"/>
      <c r="D155" s="164"/>
      <c r="E155" s="164"/>
      <c r="F155" s="164"/>
      <c r="G155" s="91"/>
      <c r="H155" s="91"/>
      <c r="I155" s="91"/>
      <c r="J155" s="91"/>
      <c r="K155" s="160"/>
      <c r="L155" s="160"/>
      <c r="M155" s="160"/>
      <c r="N155" s="160"/>
      <c r="O155" s="160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  <c r="AF155" s="91"/>
      <c r="AG155" s="91"/>
      <c r="AH155" s="91"/>
      <c r="AI155" s="91"/>
      <c r="AJ155" s="91"/>
      <c r="AK155" s="91"/>
      <c r="AL155" s="91"/>
      <c r="AM155" s="91"/>
      <c r="AN155" s="91"/>
    </row>
    <row r="156">
      <c r="A156" s="164"/>
      <c r="B156" s="165"/>
      <c r="C156" s="165"/>
      <c r="D156" s="164"/>
      <c r="E156" s="164"/>
      <c r="F156" s="164"/>
      <c r="G156" s="91"/>
      <c r="H156" s="91"/>
      <c r="I156" s="91"/>
      <c r="J156" s="91"/>
      <c r="K156" s="160"/>
      <c r="L156" s="160"/>
      <c r="M156" s="160"/>
      <c r="N156" s="160"/>
      <c r="O156" s="160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1"/>
      <c r="AE156" s="91"/>
      <c r="AF156" s="91"/>
      <c r="AG156" s="91"/>
      <c r="AH156" s="91"/>
      <c r="AI156" s="91"/>
      <c r="AJ156" s="91"/>
      <c r="AK156" s="91"/>
      <c r="AL156" s="91"/>
      <c r="AM156" s="91"/>
      <c r="AN156" s="91"/>
    </row>
    <row r="157">
      <c r="A157" s="164"/>
      <c r="B157" s="165"/>
      <c r="C157" s="165"/>
      <c r="D157" s="164"/>
      <c r="E157" s="164"/>
      <c r="F157" s="164"/>
      <c r="G157" s="91"/>
      <c r="H157" s="91"/>
      <c r="I157" s="91"/>
      <c r="J157" s="91"/>
      <c r="K157" s="160"/>
      <c r="L157" s="160"/>
      <c r="M157" s="160"/>
      <c r="N157" s="160"/>
      <c r="O157" s="160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  <c r="AF157" s="91"/>
      <c r="AG157" s="91"/>
      <c r="AH157" s="91"/>
      <c r="AI157" s="91"/>
      <c r="AJ157" s="91"/>
      <c r="AK157" s="91"/>
      <c r="AL157" s="91"/>
      <c r="AM157" s="91"/>
      <c r="AN157" s="91"/>
    </row>
    <row r="158">
      <c r="A158" s="164"/>
      <c r="B158" s="165"/>
      <c r="C158" s="165"/>
      <c r="D158" s="164"/>
      <c r="E158" s="164"/>
      <c r="F158" s="164"/>
      <c r="G158" s="91"/>
      <c r="H158" s="91"/>
      <c r="I158" s="91"/>
      <c r="J158" s="91"/>
      <c r="K158" s="160"/>
      <c r="L158" s="160"/>
      <c r="M158" s="160"/>
      <c r="N158" s="160"/>
      <c r="O158" s="160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  <c r="AF158" s="91"/>
      <c r="AG158" s="91"/>
      <c r="AH158" s="91"/>
      <c r="AI158" s="91"/>
      <c r="AJ158" s="91"/>
      <c r="AK158" s="91"/>
      <c r="AL158" s="91"/>
      <c r="AM158" s="91"/>
      <c r="AN158" s="91"/>
    </row>
    <row r="159">
      <c r="A159" s="164"/>
      <c r="B159" s="165"/>
      <c r="C159" s="165"/>
      <c r="D159" s="164"/>
      <c r="E159" s="164"/>
      <c r="F159" s="164"/>
      <c r="G159" s="91"/>
      <c r="H159" s="91"/>
      <c r="I159" s="91"/>
      <c r="J159" s="91"/>
      <c r="K159" s="160"/>
      <c r="L159" s="160"/>
      <c r="M159" s="160"/>
      <c r="N159" s="160"/>
      <c r="O159" s="160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  <c r="AE159" s="91"/>
      <c r="AF159" s="91"/>
      <c r="AG159" s="91"/>
      <c r="AH159" s="91"/>
      <c r="AI159" s="91"/>
      <c r="AJ159" s="91"/>
      <c r="AK159" s="91"/>
      <c r="AL159" s="91"/>
      <c r="AM159" s="91"/>
      <c r="AN159" s="91"/>
    </row>
    <row r="160">
      <c r="A160" s="164"/>
      <c r="B160" s="165"/>
      <c r="C160" s="165"/>
      <c r="D160" s="164"/>
      <c r="E160" s="164"/>
      <c r="F160" s="164"/>
      <c r="G160" s="91"/>
      <c r="H160" s="91"/>
      <c r="I160" s="91"/>
      <c r="J160" s="91"/>
      <c r="K160" s="160"/>
      <c r="L160" s="160"/>
      <c r="M160" s="160"/>
      <c r="N160" s="160"/>
      <c r="O160" s="160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1"/>
      <c r="AF160" s="91"/>
      <c r="AG160" s="91"/>
      <c r="AH160" s="91"/>
      <c r="AI160" s="91"/>
      <c r="AJ160" s="91"/>
      <c r="AK160" s="91"/>
      <c r="AL160" s="91"/>
      <c r="AM160" s="91"/>
      <c r="AN160" s="91"/>
    </row>
    <row r="161">
      <c r="A161" s="164"/>
      <c r="B161" s="165"/>
      <c r="C161" s="165"/>
      <c r="D161" s="164"/>
      <c r="E161" s="164"/>
      <c r="F161" s="164"/>
      <c r="G161" s="91"/>
      <c r="H161" s="91"/>
      <c r="I161" s="91"/>
      <c r="J161" s="91"/>
      <c r="K161" s="160"/>
      <c r="L161" s="160"/>
      <c r="M161" s="160"/>
      <c r="N161" s="160"/>
      <c r="O161" s="160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  <c r="AE161" s="91"/>
      <c r="AF161" s="91"/>
      <c r="AG161" s="91"/>
      <c r="AH161" s="91"/>
      <c r="AI161" s="91"/>
      <c r="AJ161" s="91"/>
      <c r="AK161" s="91"/>
      <c r="AL161" s="91"/>
      <c r="AM161" s="91"/>
      <c r="AN161" s="91"/>
    </row>
    <row r="162">
      <c r="A162" s="164"/>
      <c r="B162" s="165"/>
      <c r="C162" s="165"/>
      <c r="D162" s="164"/>
      <c r="E162" s="164"/>
      <c r="F162" s="164"/>
      <c r="G162" s="91"/>
      <c r="H162" s="91"/>
      <c r="I162" s="91"/>
      <c r="J162" s="91"/>
      <c r="K162" s="160"/>
      <c r="L162" s="160"/>
      <c r="M162" s="160"/>
      <c r="N162" s="160"/>
      <c r="O162" s="160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91"/>
      <c r="AF162" s="91"/>
      <c r="AG162" s="91"/>
      <c r="AH162" s="91"/>
      <c r="AI162" s="91"/>
      <c r="AJ162" s="91"/>
      <c r="AK162" s="91"/>
      <c r="AL162" s="91"/>
      <c r="AM162" s="91"/>
      <c r="AN162" s="91"/>
    </row>
    <row r="163">
      <c r="A163" s="164"/>
      <c r="B163" s="165"/>
      <c r="C163" s="165"/>
      <c r="D163" s="164"/>
      <c r="E163" s="164"/>
      <c r="F163" s="164"/>
      <c r="G163" s="91"/>
      <c r="H163" s="91"/>
      <c r="I163" s="91"/>
      <c r="J163" s="91"/>
      <c r="K163" s="160"/>
      <c r="L163" s="160"/>
      <c r="M163" s="160"/>
      <c r="N163" s="160"/>
      <c r="O163" s="160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1"/>
      <c r="AE163" s="91"/>
      <c r="AF163" s="91"/>
      <c r="AG163" s="91"/>
      <c r="AH163" s="91"/>
      <c r="AI163" s="91"/>
      <c r="AJ163" s="91"/>
      <c r="AK163" s="91"/>
      <c r="AL163" s="91"/>
      <c r="AM163" s="91"/>
      <c r="AN163" s="91"/>
    </row>
    <row r="164">
      <c r="A164" s="164"/>
      <c r="B164" s="165"/>
      <c r="C164" s="165"/>
      <c r="D164" s="164"/>
      <c r="E164" s="164"/>
      <c r="F164" s="164"/>
      <c r="G164" s="91"/>
      <c r="H164" s="91"/>
      <c r="I164" s="91"/>
      <c r="J164" s="91"/>
      <c r="K164" s="160"/>
      <c r="L164" s="160"/>
      <c r="M164" s="160"/>
      <c r="N164" s="160"/>
      <c r="O164" s="160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  <c r="AE164" s="91"/>
      <c r="AF164" s="91"/>
      <c r="AG164" s="91"/>
      <c r="AH164" s="91"/>
      <c r="AI164" s="91"/>
      <c r="AJ164" s="91"/>
      <c r="AK164" s="91"/>
      <c r="AL164" s="91"/>
      <c r="AM164" s="91"/>
      <c r="AN164" s="91"/>
    </row>
    <row r="165">
      <c r="A165" s="164"/>
      <c r="B165" s="165"/>
      <c r="C165" s="165"/>
      <c r="D165" s="164"/>
      <c r="E165" s="164"/>
      <c r="F165" s="164"/>
      <c r="G165" s="91"/>
      <c r="H165" s="91"/>
      <c r="I165" s="91"/>
      <c r="J165" s="91"/>
      <c r="K165" s="160"/>
      <c r="L165" s="160"/>
      <c r="M165" s="160"/>
      <c r="N165" s="160"/>
      <c r="O165" s="160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  <c r="AE165" s="91"/>
      <c r="AF165" s="91"/>
      <c r="AG165" s="91"/>
      <c r="AH165" s="91"/>
      <c r="AI165" s="91"/>
      <c r="AJ165" s="91"/>
      <c r="AK165" s="91"/>
      <c r="AL165" s="91"/>
      <c r="AM165" s="91"/>
      <c r="AN165" s="91"/>
    </row>
    <row r="166">
      <c r="A166" s="164"/>
      <c r="B166" s="165"/>
      <c r="C166" s="165"/>
      <c r="D166" s="164"/>
      <c r="E166" s="164"/>
      <c r="F166" s="164"/>
      <c r="G166" s="91"/>
      <c r="H166" s="91"/>
      <c r="I166" s="91"/>
      <c r="J166" s="91"/>
      <c r="K166" s="160"/>
      <c r="L166" s="160"/>
      <c r="M166" s="160"/>
      <c r="N166" s="160"/>
      <c r="O166" s="160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  <c r="AD166" s="91"/>
      <c r="AE166" s="91"/>
      <c r="AF166" s="91"/>
      <c r="AG166" s="91"/>
      <c r="AH166" s="91"/>
      <c r="AI166" s="91"/>
      <c r="AJ166" s="91"/>
      <c r="AK166" s="91"/>
      <c r="AL166" s="91"/>
      <c r="AM166" s="91"/>
      <c r="AN166" s="91"/>
    </row>
    <row r="167">
      <c r="A167" s="164"/>
      <c r="B167" s="165"/>
      <c r="C167" s="165"/>
      <c r="D167" s="164"/>
      <c r="E167" s="164"/>
      <c r="F167" s="164"/>
      <c r="G167" s="91"/>
      <c r="H167" s="91"/>
      <c r="I167" s="91"/>
      <c r="J167" s="91"/>
      <c r="K167" s="160"/>
      <c r="L167" s="160"/>
      <c r="M167" s="160"/>
      <c r="N167" s="160"/>
      <c r="O167" s="160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  <c r="AD167" s="91"/>
      <c r="AE167" s="91"/>
      <c r="AF167" s="91"/>
      <c r="AG167" s="91"/>
      <c r="AH167" s="91"/>
      <c r="AI167" s="91"/>
      <c r="AJ167" s="91"/>
      <c r="AK167" s="91"/>
      <c r="AL167" s="91"/>
      <c r="AM167" s="91"/>
      <c r="AN167" s="91"/>
    </row>
    <row r="168">
      <c r="A168" s="164"/>
      <c r="B168" s="165"/>
      <c r="C168" s="165"/>
      <c r="D168" s="164"/>
      <c r="E168" s="164"/>
      <c r="F168" s="164"/>
      <c r="G168" s="91"/>
      <c r="H168" s="91"/>
      <c r="I168" s="91"/>
      <c r="J168" s="91"/>
      <c r="K168" s="160"/>
      <c r="L168" s="160"/>
      <c r="M168" s="160"/>
      <c r="N168" s="160"/>
      <c r="O168" s="160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1"/>
      <c r="AE168" s="91"/>
      <c r="AF168" s="91"/>
      <c r="AG168" s="91"/>
      <c r="AH168" s="91"/>
      <c r="AI168" s="91"/>
      <c r="AJ168" s="91"/>
      <c r="AK168" s="91"/>
      <c r="AL168" s="91"/>
      <c r="AM168" s="91"/>
      <c r="AN168" s="91"/>
    </row>
    <row r="169">
      <c r="A169" s="164"/>
      <c r="B169" s="165"/>
      <c r="C169" s="165"/>
      <c r="D169" s="164"/>
      <c r="E169" s="164"/>
      <c r="F169" s="164"/>
      <c r="G169" s="91"/>
      <c r="H169" s="91"/>
      <c r="I169" s="91"/>
      <c r="J169" s="91"/>
      <c r="K169" s="160"/>
      <c r="L169" s="160"/>
      <c r="M169" s="160"/>
      <c r="N169" s="160"/>
      <c r="O169" s="160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  <c r="AF169" s="91"/>
      <c r="AG169" s="91"/>
      <c r="AH169" s="91"/>
      <c r="AI169" s="91"/>
      <c r="AJ169" s="91"/>
      <c r="AK169" s="91"/>
      <c r="AL169" s="91"/>
      <c r="AM169" s="91"/>
      <c r="AN169" s="91"/>
    </row>
    <row r="170">
      <c r="A170" s="164"/>
      <c r="B170" s="165"/>
      <c r="C170" s="165"/>
      <c r="D170" s="164"/>
      <c r="E170" s="164"/>
      <c r="F170" s="164"/>
      <c r="G170" s="91"/>
      <c r="H170" s="91"/>
      <c r="I170" s="91"/>
      <c r="J170" s="91"/>
      <c r="K170" s="160"/>
      <c r="L170" s="160"/>
      <c r="M170" s="160"/>
      <c r="N170" s="160"/>
      <c r="O170" s="160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  <c r="AE170" s="91"/>
      <c r="AF170" s="91"/>
      <c r="AG170" s="91"/>
      <c r="AH170" s="91"/>
      <c r="AI170" s="91"/>
      <c r="AJ170" s="91"/>
      <c r="AK170" s="91"/>
      <c r="AL170" s="91"/>
      <c r="AM170" s="91"/>
      <c r="AN170" s="91"/>
    </row>
    <row r="171">
      <c r="A171" s="164"/>
      <c r="B171" s="165"/>
      <c r="C171" s="165"/>
      <c r="D171" s="164"/>
      <c r="E171" s="164"/>
      <c r="F171" s="164"/>
      <c r="G171" s="91"/>
      <c r="H171" s="91"/>
      <c r="I171" s="91"/>
      <c r="J171" s="91"/>
      <c r="K171" s="160"/>
      <c r="L171" s="160"/>
      <c r="M171" s="160"/>
      <c r="N171" s="160"/>
      <c r="O171" s="160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  <c r="AE171" s="91"/>
      <c r="AF171" s="91"/>
      <c r="AG171" s="91"/>
      <c r="AH171" s="91"/>
      <c r="AI171" s="91"/>
      <c r="AJ171" s="91"/>
      <c r="AK171" s="91"/>
      <c r="AL171" s="91"/>
      <c r="AM171" s="91"/>
      <c r="AN171" s="91"/>
    </row>
    <row r="172">
      <c r="A172" s="164"/>
      <c r="B172" s="165"/>
      <c r="C172" s="165"/>
      <c r="D172" s="164"/>
      <c r="E172" s="164"/>
      <c r="F172" s="164"/>
      <c r="G172" s="91"/>
      <c r="H172" s="91"/>
      <c r="I172" s="91"/>
      <c r="J172" s="91"/>
      <c r="K172" s="160"/>
      <c r="L172" s="160"/>
      <c r="M172" s="160"/>
      <c r="N172" s="160"/>
      <c r="O172" s="160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  <c r="AD172" s="91"/>
      <c r="AE172" s="91"/>
      <c r="AF172" s="91"/>
      <c r="AG172" s="91"/>
      <c r="AH172" s="91"/>
      <c r="AI172" s="91"/>
      <c r="AJ172" s="91"/>
      <c r="AK172" s="91"/>
      <c r="AL172" s="91"/>
      <c r="AM172" s="91"/>
      <c r="AN172" s="91"/>
    </row>
    <row r="173">
      <c r="A173" s="164"/>
      <c r="B173" s="165"/>
      <c r="C173" s="165"/>
      <c r="D173" s="164"/>
      <c r="E173" s="164"/>
      <c r="F173" s="164"/>
      <c r="G173" s="91"/>
      <c r="H173" s="91"/>
      <c r="I173" s="91"/>
      <c r="J173" s="91"/>
      <c r="K173" s="160"/>
      <c r="L173" s="160"/>
      <c r="M173" s="160"/>
      <c r="N173" s="160"/>
      <c r="O173" s="160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91"/>
      <c r="AF173" s="91"/>
      <c r="AG173" s="91"/>
      <c r="AH173" s="91"/>
      <c r="AI173" s="91"/>
      <c r="AJ173" s="91"/>
      <c r="AK173" s="91"/>
      <c r="AL173" s="91"/>
      <c r="AM173" s="91"/>
      <c r="AN173" s="91"/>
    </row>
    <row r="174">
      <c r="A174" s="164"/>
      <c r="B174" s="165"/>
      <c r="C174" s="165"/>
      <c r="D174" s="164"/>
      <c r="E174" s="164"/>
      <c r="F174" s="164"/>
      <c r="G174" s="91"/>
      <c r="H174" s="91"/>
      <c r="I174" s="91"/>
      <c r="J174" s="91"/>
      <c r="K174" s="160"/>
      <c r="L174" s="160"/>
      <c r="M174" s="160"/>
      <c r="N174" s="160"/>
      <c r="O174" s="160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  <c r="AE174" s="91"/>
      <c r="AF174" s="91"/>
      <c r="AG174" s="91"/>
      <c r="AH174" s="91"/>
      <c r="AI174" s="91"/>
      <c r="AJ174" s="91"/>
      <c r="AK174" s="91"/>
      <c r="AL174" s="91"/>
      <c r="AM174" s="91"/>
      <c r="AN174" s="91"/>
    </row>
    <row r="175">
      <c r="A175" s="164"/>
      <c r="B175" s="165"/>
      <c r="C175" s="165"/>
      <c r="D175" s="164"/>
      <c r="E175" s="164"/>
      <c r="F175" s="164"/>
      <c r="G175" s="91"/>
      <c r="H175" s="91"/>
      <c r="I175" s="91"/>
      <c r="J175" s="91"/>
      <c r="K175" s="160"/>
      <c r="L175" s="160"/>
      <c r="M175" s="160"/>
      <c r="N175" s="160"/>
      <c r="O175" s="160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  <c r="AE175" s="91"/>
      <c r="AF175" s="91"/>
      <c r="AG175" s="91"/>
      <c r="AH175" s="91"/>
      <c r="AI175" s="91"/>
      <c r="AJ175" s="91"/>
      <c r="AK175" s="91"/>
      <c r="AL175" s="91"/>
      <c r="AM175" s="91"/>
      <c r="AN175" s="91"/>
    </row>
    <row r="176">
      <c r="A176" s="164"/>
      <c r="B176" s="165"/>
      <c r="C176" s="165"/>
      <c r="D176" s="164"/>
      <c r="E176" s="164"/>
      <c r="F176" s="164"/>
      <c r="G176" s="91"/>
      <c r="H176" s="91"/>
      <c r="I176" s="91"/>
      <c r="J176" s="91"/>
      <c r="K176" s="160"/>
      <c r="L176" s="160"/>
      <c r="M176" s="160"/>
      <c r="N176" s="160"/>
      <c r="O176" s="160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  <c r="AD176" s="91"/>
      <c r="AE176" s="91"/>
      <c r="AF176" s="91"/>
      <c r="AG176" s="91"/>
      <c r="AH176" s="91"/>
      <c r="AI176" s="91"/>
      <c r="AJ176" s="91"/>
      <c r="AK176" s="91"/>
      <c r="AL176" s="91"/>
      <c r="AM176" s="91"/>
      <c r="AN176" s="91"/>
    </row>
    <row r="177">
      <c r="A177" s="164"/>
      <c r="B177" s="165"/>
      <c r="C177" s="165"/>
      <c r="D177" s="164"/>
      <c r="E177" s="164"/>
      <c r="F177" s="164"/>
      <c r="G177" s="91"/>
      <c r="H177" s="91"/>
      <c r="I177" s="91"/>
      <c r="J177" s="91"/>
      <c r="K177" s="160"/>
      <c r="L177" s="160"/>
      <c r="M177" s="160"/>
      <c r="N177" s="160"/>
      <c r="O177" s="160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  <c r="AD177" s="91"/>
      <c r="AE177" s="91"/>
      <c r="AF177" s="91"/>
      <c r="AG177" s="91"/>
      <c r="AH177" s="91"/>
      <c r="AI177" s="91"/>
      <c r="AJ177" s="91"/>
      <c r="AK177" s="91"/>
      <c r="AL177" s="91"/>
      <c r="AM177" s="91"/>
      <c r="AN177" s="91"/>
    </row>
    <row r="178">
      <c r="A178" s="164"/>
      <c r="B178" s="165"/>
      <c r="C178" s="165"/>
      <c r="D178" s="164"/>
      <c r="E178" s="164"/>
      <c r="F178" s="164"/>
      <c r="G178" s="91"/>
      <c r="H178" s="91"/>
      <c r="I178" s="91"/>
      <c r="J178" s="91"/>
      <c r="K178" s="160"/>
      <c r="L178" s="160"/>
      <c r="M178" s="160"/>
      <c r="N178" s="160"/>
      <c r="O178" s="160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1"/>
      <c r="AE178" s="91"/>
      <c r="AF178" s="91"/>
      <c r="AG178" s="91"/>
      <c r="AH178" s="91"/>
      <c r="AI178" s="91"/>
      <c r="AJ178" s="91"/>
      <c r="AK178" s="91"/>
      <c r="AL178" s="91"/>
      <c r="AM178" s="91"/>
      <c r="AN178" s="91"/>
    </row>
    <row r="179">
      <c r="A179" s="164"/>
      <c r="B179" s="165"/>
      <c r="C179" s="165"/>
      <c r="D179" s="164"/>
      <c r="E179" s="164"/>
      <c r="F179" s="164"/>
      <c r="G179" s="91"/>
      <c r="H179" s="91"/>
      <c r="I179" s="91"/>
      <c r="J179" s="91"/>
      <c r="K179" s="160"/>
      <c r="L179" s="160"/>
      <c r="M179" s="160"/>
      <c r="N179" s="160"/>
      <c r="O179" s="160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  <c r="AD179" s="91"/>
      <c r="AE179" s="91"/>
      <c r="AF179" s="91"/>
      <c r="AG179" s="91"/>
      <c r="AH179" s="91"/>
      <c r="AI179" s="91"/>
      <c r="AJ179" s="91"/>
      <c r="AK179" s="91"/>
      <c r="AL179" s="91"/>
      <c r="AM179" s="91"/>
      <c r="AN179" s="91"/>
    </row>
    <row r="180">
      <c r="A180" s="164"/>
      <c r="B180" s="165"/>
      <c r="C180" s="165"/>
      <c r="D180" s="164"/>
      <c r="E180" s="164"/>
      <c r="F180" s="164"/>
      <c r="G180" s="91"/>
      <c r="H180" s="91"/>
      <c r="I180" s="91"/>
      <c r="J180" s="91"/>
      <c r="K180" s="160"/>
      <c r="L180" s="160"/>
      <c r="M180" s="160"/>
      <c r="N180" s="160"/>
      <c r="O180" s="160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  <c r="AD180" s="91"/>
      <c r="AE180" s="91"/>
      <c r="AF180" s="91"/>
      <c r="AG180" s="91"/>
      <c r="AH180" s="91"/>
      <c r="AI180" s="91"/>
      <c r="AJ180" s="91"/>
      <c r="AK180" s="91"/>
      <c r="AL180" s="91"/>
      <c r="AM180" s="91"/>
      <c r="AN180" s="91"/>
    </row>
    <row r="181">
      <c r="A181" s="164"/>
      <c r="B181" s="165"/>
      <c r="C181" s="165"/>
      <c r="D181" s="164"/>
      <c r="E181" s="164"/>
      <c r="F181" s="164"/>
      <c r="G181" s="91"/>
      <c r="H181" s="91"/>
      <c r="I181" s="91"/>
      <c r="J181" s="91"/>
      <c r="K181" s="160"/>
      <c r="L181" s="160"/>
      <c r="M181" s="160"/>
      <c r="N181" s="160"/>
      <c r="O181" s="160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  <c r="AF181" s="91"/>
      <c r="AG181" s="91"/>
      <c r="AH181" s="91"/>
      <c r="AI181" s="91"/>
      <c r="AJ181" s="91"/>
      <c r="AK181" s="91"/>
      <c r="AL181" s="91"/>
      <c r="AM181" s="91"/>
      <c r="AN181" s="91"/>
    </row>
    <row r="182">
      <c r="A182" s="164"/>
      <c r="B182" s="165"/>
      <c r="C182" s="165"/>
      <c r="D182" s="164"/>
      <c r="E182" s="164"/>
      <c r="F182" s="164"/>
      <c r="G182" s="91"/>
      <c r="H182" s="91"/>
      <c r="I182" s="91"/>
      <c r="J182" s="91"/>
      <c r="K182" s="160"/>
      <c r="L182" s="160"/>
      <c r="M182" s="160"/>
      <c r="N182" s="160"/>
      <c r="O182" s="160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  <c r="AE182" s="91"/>
      <c r="AF182" s="91"/>
      <c r="AG182" s="91"/>
      <c r="AH182" s="91"/>
      <c r="AI182" s="91"/>
      <c r="AJ182" s="91"/>
      <c r="AK182" s="91"/>
      <c r="AL182" s="91"/>
      <c r="AM182" s="91"/>
      <c r="AN182" s="91"/>
    </row>
    <row r="183">
      <c r="A183" s="164"/>
      <c r="B183" s="165"/>
      <c r="C183" s="165"/>
      <c r="D183" s="164"/>
      <c r="E183" s="164"/>
      <c r="F183" s="164"/>
      <c r="G183" s="91"/>
      <c r="H183" s="91"/>
      <c r="I183" s="91"/>
      <c r="J183" s="91"/>
      <c r="K183" s="160"/>
      <c r="L183" s="160"/>
      <c r="M183" s="160"/>
      <c r="N183" s="160"/>
      <c r="O183" s="160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  <c r="AE183" s="91"/>
      <c r="AF183" s="91"/>
      <c r="AG183" s="91"/>
      <c r="AH183" s="91"/>
      <c r="AI183" s="91"/>
      <c r="AJ183" s="91"/>
      <c r="AK183" s="91"/>
      <c r="AL183" s="91"/>
      <c r="AM183" s="91"/>
      <c r="AN183" s="91"/>
    </row>
    <row r="184">
      <c r="A184" s="164"/>
      <c r="B184" s="165"/>
      <c r="C184" s="165"/>
      <c r="D184" s="164"/>
      <c r="E184" s="164"/>
      <c r="F184" s="164"/>
      <c r="G184" s="91"/>
      <c r="H184" s="91"/>
      <c r="I184" s="91"/>
      <c r="J184" s="91"/>
      <c r="K184" s="160"/>
      <c r="L184" s="160"/>
      <c r="M184" s="160"/>
      <c r="N184" s="160"/>
      <c r="O184" s="160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  <c r="AD184" s="91"/>
      <c r="AE184" s="91"/>
      <c r="AF184" s="91"/>
      <c r="AG184" s="91"/>
      <c r="AH184" s="91"/>
      <c r="AI184" s="91"/>
      <c r="AJ184" s="91"/>
      <c r="AK184" s="91"/>
      <c r="AL184" s="91"/>
      <c r="AM184" s="91"/>
      <c r="AN184" s="91"/>
    </row>
    <row r="185">
      <c r="A185" s="164"/>
      <c r="B185" s="165"/>
      <c r="C185" s="165"/>
      <c r="D185" s="164"/>
      <c r="E185" s="164"/>
      <c r="F185" s="164"/>
      <c r="G185" s="91"/>
      <c r="H185" s="91"/>
      <c r="I185" s="91"/>
      <c r="J185" s="91"/>
      <c r="K185" s="160"/>
      <c r="L185" s="160"/>
      <c r="M185" s="160"/>
      <c r="N185" s="160"/>
      <c r="O185" s="160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  <c r="AF185" s="91"/>
      <c r="AG185" s="91"/>
      <c r="AH185" s="91"/>
      <c r="AI185" s="91"/>
      <c r="AJ185" s="91"/>
      <c r="AK185" s="91"/>
      <c r="AL185" s="91"/>
      <c r="AM185" s="91"/>
      <c r="AN185" s="91"/>
    </row>
    <row r="186">
      <c r="A186" s="164"/>
      <c r="B186" s="165"/>
      <c r="C186" s="165"/>
      <c r="D186" s="164"/>
      <c r="E186" s="164"/>
      <c r="F186" s="164"/>
      <c r="G186" s="91"/>
      <c r="H186" s="91"/>
      <c r="I186" s="91"/>
      <c r="J186" s="91"/>
      <c r="K186" s="160"/>
      <c r="L186" s="160"/>
      <c r="M186" s="160"/>
      <c r="N186" s="160"/>
      <c r="O186" s="160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91"/>
      <c r="AF186" s="91"/>
      <c r="AG186" s="91"/>
      <c r="AH186" s="91"/>
      <c r="AI186" s="91"/>
      <c r="AJ186" s="91"/>
      <c r="AK186" s="91"/>
      <c r="AL186" s="91"/>
      <c r="AM186" s="91"/>
      <c r="AN186" s="91"/>
    </row>
    <row r="187">
      <c r="A187" s="164"/>
      <c r="B187" s="165"/>
      <c r="C187" s="165"/>
      <c r="D187" s="164"/>
      <c r="E187" s="164"/>
      <c r="F187" s="164"/>
      <c r="G187" s="91"/>
      <c r="H187" s="91"/>
      <c r="I187" s="91"/>
      <c r="J187" s="91"/>
      <c r="K187" s="160"/>
      <c r="L187" s="160"/>
      <c r="M187" s="160"/>
      <c r="N187" s="160"/>
      <c r="O187" s="160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91"/>
      <c r="AE187" s="91"/>
      <c r="AF187" s="91"/>
      <c r="AG187" s="91"/>
      <c r="AH187" s="91"/>
      <c r="AI187" s="91"/>
      <c r="AJ187" s="91"/>
      <c r="AK187" s="91"/>
      <c r="AL187" s="91"/>
      <c r="AM187" s="91"/>
      <c r="AN187" s="91"/>
    </row>
    <row r="188">
      <c r="A188" s="164"/>
      <c r="B188" s="165"/>
      <c r="C188" s="165"/>
      <c r="D188" s="164"/>
      <c r="E188" s="164"/>
      <c r="F188" s="164"/>
      <c r="G188" s="91"/>
      <c r="H188" s="91"/>
      <c r="I188" s="91"/>
      <c r="J188" s="91"/>
      <c r="K188" s="160"/>
      <c r="L188" s="160"/>
      <c r="M188" s="160"/>
      <c r="N188" s="160"/>
      <c r="O188" s="160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  <c r="AF188" s="91"/>
      <c r="AG188" s="91"/>
      <c r="AH188" s="91"/>
      <c r="AI188" s="91"/>
      <c r="AJ188" s="91"/>
      <c r="AK188" s="91"/>
      <c r="AL188" s="91"/>
      <c r="AM188" s="91"/>
      <c r="AN188" s="91"/>
    </row>
    <row r="189">
      <c r="A189" s="164"/>
      <c r="B189" s="165"/>
      <c r="C189" s="165"/>
      <c r="D189" s="164"/>
      <c r="E189" s="164"/>
      <c r="F189" s="164"/>
      <c r="G189" s="91"/>
      <c r="H189" s="91"/>
      <c r="I189" s="91"/>
      <c r="J189" s="91"/>
      <c r="K189" s="160"/>
      <c r="L189" s="160"/>
      <c r="M189" s="160"/>
      <c r="N189" s="160"/>
      <c r="O189" s="160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  <c r="AF189" s="91"/>
      <c r="AG189" s="91"/>
      <c r="AH189" s="91"/>
      <c r="AI189" s="91"/>
      <c r="AJ189" s="91"/>
      <c r="AK189" s="91"/>
      <c r="AL189" s="91"/>
      <c r="AM189" s="91"/>
      <c r="AN189" s="91"/>
    </row>
    <row r="190">
      <c r="A190" s="164"/>
      <c r="B190" s="165"/>
      <c r="C190" s="165"/>
      <c r="D190" s="164"/>
      <c r="E190" s="164"/>
      <c r="F190" s="164"/>
      <c r="G190" s="91"/>
      <c r="H190" s="91"/>
      <c r="I190" s="91"/>
      <c r="J190" s="91"/>
      <c r="K190" s="160"/>
      <c r="L190" s="160"/>
      <c r="M190" s="160"/>
      <c r="N190" s="160"/>
      <c r="O190" s="160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  <c r="AF190" s="91"/>
      <c r="AG190" s="91"/>
      <c r="AH190" s="91"/>
      <c r="AI190" s="91"/>
      <c r="AJ190" s="91"/>
      <c r="AK190" s="91"/>
      <c r="AL190" s="91"/>
      <c r="AM190" s="91"/>
      <c r="AN190" s="91"/>
    </row>
    <row r="191">
      <c r="A191" s="164"/>
      <c r="B191" s="165"/>
      <c r="C191" s="165"/>
      <c r="D191" s="164"/>
      <c r="E191" s="164"/>
      <c r="F191" s="164"/>
      <c r="G191" s="91"/>
      <c r="H191" s="91"/>
      <c r="I191" s="91"/>
      <c r="J191" s="91"/>
      <c r="K191" s="160"/>
      <c r="L191" s="160"/>
      <c r="M191" s="160"/>
      <c r="N191" s="160"/>
      <c r="O191" s="160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1"/>
      <c r="AE191" s="91"/>
      <c r="AF191" s="91"/>
      <c r="AG191" s="91"/>
      <c r="AH191" s="91"/>
      <c r="AI191" s="91"/>
      <c r="AJ191" s="91"/>
      <c r="AK191" s="91"/>
      <c r="AL191" s="91"/>
      <c r="AM191" s="91"/>
      <c r="AN191" s="91"/>
    </row>
    <row r="192">
      <c r="A192" s="164"/>
      <c r="B192" s="165"/>
      <c r="C192" s="165"/>
      <c r="D192" s="164"/>
      <c r="E192" s="164"/>
      <c r="F192" s="164"/>
      <c r="G192" s="91"/>
      <c r="H192" s="91"/>
      <c r="I192" s="91"/>
      <c r="J192" s="91"/>
      <c r="K192" s="160"/>
      <c r="L192" s="160"/>
      <c r="M192" s="160"/>
      <c r="N192" s="160"/>
      <c r="O192" s="160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1"/>
      <c r="AE192" s="91"/>
      <c r="AF192" s="91"/>
      <c r="AG192" s="91"/>
      <c r="AH192" s="91"/>
      <c r="AI192" s="91"/>
      <c r="AJ192" s="91"/>
      <c r="AK192" s="91"/>
      <c r="AL192" s="91"/>
      <c r="AM192" s="91"/>
      <c r="AN192" s="91"/>
    </row>
    <row r="193">
      <c r="A193" s="164"/>
      <c r="B193" s="165"/>
      <c r="C193" s="165"/>
      <c r="D193" s="164"/>
      <c r="E193" s="164"/>
      <c r="F193" s="164"/>
      <c r="G193" s="91"/>
      <c r="H193" s="91"/>
      <c r="I193" s="91"/>
      <c r="J193" s="91"/>
      <c r="K193" s="160"/>
      <c r="L193" s="160"/>
      <c r="M193" s="160"/>
      <c r="N193" s="160"/>
      <c r="O193" s="160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91"/>
      <c r="AH193" s="91"/>
      <c r="AI193" s="91"/>
      <c r="AJ193" s="91"/>
      <c r="AK193" s="91"/>
      <c r="AL193" s="91"/>
      <c r="AM193" s="91"/>
      <c r="AN193" s="91"/>
    </row>
    <row r="194">
      <c r="A194" s="164"/>
      <c r="B194" s="165"/>
      <c r="C194" s="165"/>
      <c r="D194" s="164"/>
      <c r="E194" s="164"/>
      <c r="F194" s="164"/>
      <c r="G194" s="91"/>
      <c r="H194" s="91"/>
      <c r="I194" s="91"/>
      <c r="J194" s="91"/>
      <c r="K194" s="160"/>
      <c r="L194" s="160"/>
      <c r="M194" s="160"/>
      <c r="N194" s="160"/>
      <c r="O194" s="160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  <c r="AF194" s="91"/>
      <c r="AG194" s="91"/>
      <c r="AH194" s="91"/>
      <c r="AI194" s="91"/>
      <c r="AJ194" s="91"/>
      <c r="AK194" s="91"/>
      <c r="AL194" s="91"/>
      <c r="AM194" s="91"/>
      <c r="AN194" s="91"/>
    </row>
    <row r="195">
      <c r="A195" s="164"/>
      <c r="B195" s="165"/>
      <c r="C195" s="165"/>
      <c r="D195" s="164"/>
      <c r="E195" s="164"/>
      <c r="F195" s="164"/>
      <c r="G195" s="91"/>
      <c r="H195" s="91"/>
      <c r="I195" s="91"/>
      <c r="J195" s="91"/>
      <c r="K195" s="160"/>
      <c r="L195" s="160"/>
      <c r="M195" s="160"/>
      <c r="N195" s="160"/>
      <c r="O195" s="160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  <c r="AE195" s="91"/>
      <c r="AF195" s="91"/>
      <c r="AG195" s="91"/>
      <c r="AH195" s="91"/>
      <c r="AI195" s="91"/>
      <c r="AJ195" s="91"/>
      <c r="AK195" s="91"/>
      <c r="AL195" s="91"/>
      <c r="AM195" s="91"/>
      <c r="AN195" s="91"/>
    </row>
    <row r="196">
      <c r="A196" s="164"/>
      <c r="B196" s="165"/>
      <c r="C196" s="165"/>
      <c r="D196" s="164"/>
      <c r="E196" s="164"/>
      <c r="F196" s="164"/>
      <c r="G196" s="91"/>
      <c r="H196" s="91"/>
      <c r="I196" s="91"/>
      <c r="J196" s="91"/>
      <c r="K196" s="160"/>
      <c r="L196" s="160"/>
      <c r="M196" s="160"/>
      <c r="N196" s="160"/>
      <c r="O196" s="160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  <c r="AE196" s="91"/>
      <c r="AF196" s="91"/>
      <c r="AG196" s="91"/>
      <c r="AH196" s="91"/>
      <c r="AI196" s="91"/>
      <c r="AJ196" s="91"/>
      <c r="AK196" s="91"/>
      <c r="AL196" s="91"/>
      <c r="AM196" s="91"/>
      <c r="AN196" s="91"/>
    </row>
    <row r="197">
      <c r="A197" s="164"/>
      <c r="B197" s="165"/>
      <c r="C197" s="165"/>
      <c r="D197" s="164"/>
      <c r="E197" s="164"/>
      <c r="F197" s="164"/>
      <c r="G197" s="91"/>
      <c r="H197" s="91"/>
      <c r="I197" s="91"/>
      <c r="J197" s="91"/>
      <c r="K197" s="160"/>
      <c r="L197" s="160"/>
      <c r="M197" s="160"/>
      <c r="N197" s="160"/>
      <c r="O197" s="160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  <c r="AF197" s="91"/>
      <c r="AG197" s="91"/>
      <c r="AH197" s="91"/>
      <c r="AI197" s="91"/>
      <c r="AJ197" s="91"/>
      <c r="AK197" s="91"/>
      <c r="AL197" s="91"/>
      <c r="AM197" s="91"/>
      <c r="AN197" s="91"/>
    </row>
    <row r="198">
      <c r="A198" s="164"/>
      <c r="B198" s="165"/>
      <c r="C198" s="165"/>
      <c r="D198" s="164"/>
      <c r="E198" s="164"/>
      <c r="F198" s="164"/>
      <c r="G198" s="91"/>
      <c r="H198" s="91"/>
      <c r="I198" s="91"/>
      <c r="J198" s="91"/>
      <c r="K198" s="160"/>
      <c r="L198" s="160"/>
      <c r="M198" s="160"/>
      <c r="N198" s="160"/>
      <c r="O198" s="160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  <c r="AF198" s="91"/>
      <c r="AG198" s="91"/>
      <c r="AH198" s="91"/>
      <c r="AI198" s="91"/>
      <c r="AJ198" s="91"/>
      <c r="AK198" s="91"/>
      <c r="AL198" s="91"/>
      <c r="AM198" s="91"/>
      <c r="AN198" s="91"/>
    </row>
    <row r="199">
      <c r="A199" s="164"/>
      <c r="B199" s="165"/>
      <c r="C199" s="165"/>
      <c r="D199" s="164"/>
      <c r="E199" s="164"/>
      <c r="F199" s="164"/>
      <c r="G199" s="91"/>
      <c r="H199" s="91"/>
      <c r="I199" s="91"/>
      <c r="J199" s="91"/>
      <c r="K199" s="160"/>
      <c r="L199" s="160"/>
      <c r="M199" s="160"/>
      <c r="N199" s="160"/>
      <c r="O199" s="160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  <c r="AF199" s="91"/>
      <c r="AG199" s="91"/>
      <c r="AH199" s="91"/>
      <c r="AI199" s="91"/>
      <c r="AJ199" s="91"/>
      <c r="AK199" s="91"/>
      <c r="AL199" s="91"/>
      <c r="AM199" s="91"/>
      <c r="AN199" s="91"/>
    </row>
    <row r="200">
      <c r="A200" s="164"/>
      <c r="B200" s="165"/>
      <c r="C200" s="165"/>
      <c r="D200" s="164"/>
      <c r="E200" s="164"/>
      <c r="F200" s="164"/>
      <c r="G200" s="91"/>
      <c r="H200" s="91"/>
      <c r="I200" s="91"/>
      <c r="J200" s="91"/>
      <c r="K200" s="160"/>
      <c r="L200" s="160"/>
      <c r="M200" s="160"/>
      <c r="N200" s="160"/>
      <c r="O200" s="160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  <c r="AF200" s="91"/>
      <c r="AG200" s="91"/>
      <c r="AH200" s="91"/>
      <c r="AI200" s="91"/>
      <c r="AJ200" s="91"/>
      <c r="AK200" s="91"/>
      <c r="AL200" s="91"/>
      <c r="AM200" s="91"/>
      <c r="AN200" s="91"/>
    </row>
    <row r="201">
      <c r="A201" s="164"/>
      <c r="B201" s="165"/>
      <c r="C201" s="165"/>
      <c r="D201" s="164"/>
      <c r="E201" s="164"/>
      <c r="F201" s="164"/>
      <c r="G201" s="91"/>
      <c r="H201" s="91"/>
      <c r="I201" s="91"/>
      <c r="J201" s="91"/>
      <c r="K201" s="160"/>
      <c r="L201" s="160"/>
      <c r="M201" s="160"/>
      <c r="N201" s="160"/>
      <c r="O201" s="160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  <c r="AD201" s="91"/>
      <c r="AE201" s="91"/>
      <c r="AF201" s="91"/>
      <c r="AG201" s="91"/>
      <c r="AH201" s="91"/>
      <c r="AI201" s="91"/>
      <c r="AJ201" s="91"/>
      <c r="AK201" s="91"/>
      <c r="AL201" s="91"/>
      <c r="AM201" s="91"/>
      <c r="AN201" s="91"/>
    </row>
    <row r="202">
      <c r="A202" s="164"/>
      <c r="B202" s="165"/>
      <c r="C202" s="165"/>
      <c r="D202" s="164"/>
      <c r="E202" s="164"/>
      <c r="F202" s="164"/>
      <c r="G202" s="91"/>
      <c r="H202" s="91"/>
      <c r="I202" s="91"/>
      <c r="J202" s="91"/>
      <c r="K202" s="160"/>
      <c r="L202" s="160"/>
      <c r="M202" s="160"/>
      <c r="N202" s="160"/>
      <c r="O202" s="160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  <c r="AE202" s="91"/>
      <c r="AF202" s="91"/>
      <c r="AG202" s="91"/>
      <c r="AH202" s="91"/>
      <c r="AI202" s="91"/>
      <c r="AJ202" s="91"/>
      <c r="AK202" s="91"/>
      <c r="AL202" s="91"/>
      <c r="AM202" s="91"/>
      <c r="AN202" s="91"/>
    </row>
    <row r="203">
      <c r="A203" s="164"/>
      <c r="B203" s="165"/>
      <c r="C203" s="165"/>
      <c r="D203" s="164"/>
      <c r="E203" s="164"/>
      <c r="F203" s="164"/>
      <c r="G203" s="91"/>
      <c r="H203" s="91"/>
      <c r="I203" s="91"/>
      <c r="J203" s="91"/>
      <c r="K203" s="160"/>
      <c r="L203" s="160"/>
      <c r="M203" s="160"/>
      <c r="N203" s="160"/>
      <c r="O203" s="160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  <c r="AE203" s="91"/>
      <c r="AF203" s="91"/>
      <c r="AG203" s="91"/>
      <c r="AH203" s="91"/>
      <c r="AI203" s="91"/>
      <c r="AJ203" s="91"/>
      <c r="AK203" s="91"/>
      <c r="AL203" s="91"/>
      <c r="AM203" s="91"/>
      <c r="AN203" s="91"/>
    </row>
    <row r="204">
      <c r="A204" s="164"/>
      <c r="B204" s="165"/>
      <c r="C204" s="165"/>
      <c r="D204" s="164"/>
      <c r="E204" s="164"/>
      <c r="F204" s="164"/>
      <c r="G204" s="91"/>
      <c r="H204" s="91"/>
      <c r="I204" s="91"/>
      <c r="J204" s="91"/>
      <c r="K204" s="160"/>
      <c r="L204" s="160"/>
      <c r="M204" s="160"/>
      <c r="N204" s="160"/>
      <c r="O204" s="160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  <c r="AE204" s="91"/>
      <c r="AF204" s="91"/>
      <c r="AG204" s="91"/>
      <c r="AH204" s="91"/>
      <c r="AI204" s="91"/>
      <c r="AJ204" s="91"/>
      <c r="AK204" s="91"/>
      <c r="AL204" s="91"/>
      <c r="AM204" s="91"/>
      <c r="AN204" s="91"/>
    </row>
    <row r="205">
      <c r="A205" s="164"/>
      <c r="B205" s="165"/>
      <c r="C205" s="165"/>
      <c r="D205" s="164"/>
      <c r="E205" s="164"/>
      <c r="F205" s="164"/>
      <c r="G205" s="91"/>
      <c r="H205" s="91"/>
      <c r="I205" s="91"/>
      <c r="J205" s="91"/>
      <c r="K205" s="160"/>
      <c r="L205" s="160"/>
      <c r="M205" s="160"/>
      <c r="N205" s="160"/>
      <c r="O205" s="160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1"/>
      <c r="AE205" s="91"/>
      <c r="AF205" s="91"/>
      <c r="AG205" s="91"/>
      <c r="AH205" s="91"/>
      <c r="AI205" s="91"/>
      <c r="AJ205" s="91"/>
      <c r="AK205" s="91"/>
      <c r="AL205" s="91"/>
      <c r="AM205" s="91"/>
      <c r="AN205" s="91"/>
    </row>
    <row r="206">
      <c r="A206" s="164"/>
      <c r="B206" s="165"/>
      <c r="C206" s="165"/>
      <c r="D206" s="164"/>
      <c r="E206" s="164"/>
      <c r="F206" s="164"/>
      <c r="G206" s="91"/>
      <c r="H206" s="91"/>
      <c r="I206" s="91"/>
      <c r="J206" s="91"/>
      <c r="K206" s="160"/>
      <c r="L206" s="160"/>
      <c r="M206" s="160"/>
      <c r="N206" s="160"/>
      <c r="O206" s="160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  <c r="AE206" s="91"/>
      <c r="AF206" s="91"/>
      <c r="AG206" s="91"/>
      <c r="AH206" s="91"/>
      <c r="AI206" s="91"/>
      <c r="AJ206" s="91"/>
      <c r="AK206" s="91"/>
      <c r="AL206" s="91"/>
      <c r="AM206" s="91"/>
      <c r="AN206" s="91"/>
    </row>
    <row r="207">
      <c r="A207" s="164"/>
      <c r="B207" s="165"/>
      <c r="C207" s="165"/>
      <c r="D207" s="164"/>
      <c r="E207" s="164"/>
      <c r="F207" s="164"/>
      <c r="G207" s="91"/>
      <c r="H207" s="91"/>
      <c r="I207" s="91"/>
      <c r="J207" s="91"/>
      <c r="K207" s="160"/>
      <c r="L207" s="160"/>
      <c r="M207" s="160"/>
      <c r="N207" s="160"/>
      <c r="O207" s="160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1"/>
      <c r="AE207" s="91"/>
      <c r="AF207" s="91"/>
      <c r="AG207" s="91"/>
      <c r="AH207" s="91"/>
      <c r="AI207" s="91"/>
      <c r="AJ207" s="91"/>
      <c r="AK207" s="91"/>
      <c r="AL207" s="91"/>
      <c r="AM207" s="91"/>
      <c r="AN207" s="91"/>
    </row>
    <row r="208">
      <c r="A208" s="164"/>
      <c r="B208" s="165"/>
      <c r="C208" s="165"/>
      <c r="D208" s="164"/>
      <c r="E208" s="164"/>
      <c r="F208" s="164"/>
      <c r="G208" s="91"/>
      <c r="H208" s="91"/>
      <c r="I208" s="91"/>
      <c r="J208" s="91"/>
      <c r="K208" s="160"/>
      <c r="L208" s="160"/>
      <c r="M208" s="160"/>
      <c r="N208" s="160"/>
      <c r="O208" s="160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1"/>
      <c r="AE208" s="91"/>
      <c r="AF208" s="91"/>
      <c r="AG208" s="91"/>
      <c r="AH208" s="91"/>
      <c r="AI208" s="91"/>
      <c r="AJ208" s="91"/>
      <c r="AK208" s="91"/>
      <c r="AL208" s="91"/>
      <c r="AM208" s="91"/>
      <c r="AN208" s="91"/>
    </row>
    <row r="209">
      <c r="A209" s="164"/>
      <c r="B209" s="165"/>
      <c r="C209" s="165"/>
      <c r="D209" s="164"/>
      <c r="E209" s="164"/>
      <c r="F209" s="164"/>
      <c r="G209" s="91"/>
      <c r="H209" s="91"/>
      <c r="I209" s="91"/>
      <c r="J209" s="91"/>
      <c r="K209" s="160"/>
      <c r="L209" s="160"/>
      <c r="M209" s="160"/>
      <c r="N209" s="160"/>
      <c r="O209" s="160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91"/>
      <c r="AE209" s="91"/>
      <c r="AF209" s="91"/>
      <c r="AG209" s="91"/>
      <c r="AH209" s="91"/>
      <c r="AI209" s="91"/>
      <c r="AJ209" s="91"/>
      <c r="AK209" s="91"/>
      <c r="AL209" s="91"/>
      <c r="AM209" s="91"/>
      <c r="AN209" s="91"/>
    </row>
    <row r="210">
      <c r="A210" s="164"/>
      <c r="B210" s="165"/>
      <c r="C210" s="165"/>
      <c r="D210" s="164"/>
      <c r="E210" s="164"/>
      <c r="F210" s="164"/>
      <c r="G210" s="91"/>
      <c r="H210" s="91"/>
      <c r="I210" s="91"/>
      <c r="J210" s="91"/>
      <c r="K210" s="160"/>
      <c r="L210" s="160"/>
      <c r="M210" s="160"/>
      <c r="N210" s="160"/>
      <c r="O210" s="160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  <c r="AD210" s="91"/>
      <c r="AE210" s="91"/>
      <c r="AF210" s="91"/>
      <c r="AG210" s="91"/>
      <c r="AH210" s="91"/>
      <c r="AI210" s="91"/>
      <c r="AJ210" s="91"/>
      <c r="AK210" s="91"/>
      <c r="AL210" s="91"/>
      <c r="AM210" s="91"/>
      <c r="AN210" s="91"/>
    </row>
    <row r="211">
      <c r="A211" s="164"/>
      <c r="B211" s="165"/>
      <c r="C211" s="165"/>
      <c r="D211" s="164"/>
      <c r="E211" s="164"/>
      <c r="F211" s="164"/>
      <c r="G211" s="91"/>
      <c r="H211" s="91"/>
      <c r="I211" s="91"/>
      <c r="J211" s="91"/>
      <c r="K211" s="160"/>
      <c r="L211" s="160"/>
      <c r="M211" s="160"/>
      <c r="N211" s="160"/>
      <c r="O211" s="160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91"/>
      <c r="AF211" s="91"/>
      <c r="AG211" s="91"/>
      <c r="AH211" s="91"/>
      <c r="AI211" s="91"/>
      <c r="AJ211" s="91"/>
      <c r="AK211" s="91"/>
      <c r="AL211" s="91"/>
      <c r="AM211" s="91"/>
      <c r="AN211" s="91"/>
    </row>
    <row r="212">
      <c r="A212" s="164"/>
      <c r="B212" s="165"/>
      <c r="C212" s="165"/>
      <c r="D212" s="164"/>
      <c r="E212" s="164"/>
      <c r="F212" s="164"/>
      <c r="G212" s="91"/>
      <c r="H212" s="91"/>
      <c r="I212" s="91"/>
      <c r="J212" s="91"/>
      <c r="K212" s="160"/>
      <c r="L212" s="160"/>
      <c r="M212" s="160"/>
      <c r="N212" s="160"/>
      <c r="O212" s="160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  <c r="AD212" s="91"/>
      <c r="AE212" s="91"/>
      <c r="AF212" s="91"/>
      <c r="AG212" s="91"/>
      <c r="AH212" s="91"/>
      <c r="AI212" s="91"/>
      <c r="AJ212" s="91"/>
      <c r="AK212" s="91"/>
      <c r="AL212" s="91"/>
      <c r="AM212" s="91"/>
      <c r="AN212" s="91"/>
    </row>
    <row r="213">
      <c r="A213" s="164"/>
      <c r="B213" s="165"/>
      <c r="C213" s="165"/>
      <c r="D213" s="164"/>
      <c r="E213" s="164"/>
      <c r="F213" s="164"/>
      <c r="G213" s="91"/>
      <c r="H213" s="91"/>
      <c r="I213" s="91"/>
      <c r="J213" s="91"/>
      <c r="K213" s="160"/>
      <c r="L213" s="160"/>
      <c r="M213" s="160"/>
      <c r="N213" s="160"/>
      <c r="O213" s="160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91"/>
      <c r="AE213" s="91"/>
      <c r="AF213" s="91"/>
      <c r="AG213" s="91"/>
      <c r="AH213" s="91"/>
      <c r="AI213" s="91"/>
      <c r="AJ213" s="91"/>
      <c r="AK213" s="91"/>
      <c r="AL213" s="91"/>
      <c r="AM213" s="91"/>
      <c r="AN213" s="91"/>
    </row>
    <row r="214">
      <c r="A214" s="164"/>
      <c r="B214" s="165"/>
      <c r="C214" s="165"/>
      <c r="D214" s="164"/>
      <c r="E214" s="164"/>
      <c r="F214" s="164"/>
      <c r="G214" s="91"/>
      <c r="H214" s="91"/>
      <c r="I214" s="91"/>
      <c r="J214" s="91"/>
      <c r="K214" s="160"/>
      <c r="L214" s="160"/>
      <c r="M214" s="160"/>
      <c r="N214" s="160"/>
      <c r="O214" s="160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  <c r="AD214" s="91"/>
      <c r="AE214" s="91"/>
      <c r="AF214" s="91"/>
      <c r="AG214" s="91"/>
      <c r="AH214" s="91"/>
      <c r="AI214" s="91"/>
      <c r="AJ214" s="91"/>
      <c r="AK214" s="91"/>
      <c r="AL214" s="91"/>
      <c r="AM214" s="91"/>
      <c r="AN214" s="91"/>
    </row>
    <row r="215">
      <c r="A215" s="164"/>
      <c r="B215" s="165"/>
      <c r="C215" s="165"/>
      <c r="D215" s="164"/>
      <c r="E215" s="164"/>
      <c r="F215" s="164"/>
      <c r="G215" s="91"/>
      <c r="H215" s="91"/>
      <c r="I215" s="91"/>
      <c r="J215" s="91"/>
      <c r="K215" s="160"/>
      <c r="L215" s="160"/>
      <c r="M215" s="160"/>
      <c r="N215" s="160"/>
      <c r="O215" s="160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  <c r="AE215" s="91"/>
      <c r="AF215" s="91"/>
      <c r="AG215" s="91"/>
      <c r="AH215" s="91"/>
      <c r="AI215" s="91"/>
      <c r="AJ215" s="91"/>
      <c r="AK215" s="91"/>
      <c r="AL215" s="91"/>
      <c r="AM215" s="91"/>
      <c r="AN215" s="91"/>
    </row>
    <row r="216">
      <c r="A216" s="164"/>
      <c r="B216" s="165"/>
      <c r="C216" s="165"/>
      <c r="D216" s="164"/>
      <c r="E216" s="164"/>
      <c r="F216" s="164"/>
      <c r="G216" s="91"/>
      <c r="H216" s="91"/>
      <c r="I216" s="91"/>
      <c r="J216" s="91"/>
      <c r="K216" s="160"/>
      <c r="L216" s="160"/>
      <c r="M216" s="160"/>
      <c r="N216" s="160"/>
      <c r="O216" s="160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  <c r="AD216" s="91"/>
      <c r="AE216" s="91"/>
      <c r="AF216" s="91"/>
      <c r="AG216" s="91"/>
      <c r="AH216" s="91"/>
      <c r="AI216" s="91"/>
      <c r="AJ216" s="91"/>
      <c r="AK216" s="91"/>
      <c r="AL216" s="91"/>
      <c r="AM216" s="91"/>
      <c r="AN216" s="91"/>
    </row>
    <row r="217">
      <c r="A217" s="164"/>
      <c r="B217" s="165"/>
      <c r="C217" s="165"/>
      <c r="D217" s="164"/>
      <c r="E217" s="164"/>
      <c r="F217" s="164"/>
      <c r="G217" s="91"/>
      <c r="H217" s="91"/>
      <c r="I217" s="91"/>
      <c r="J217" s="91"/>
      <c r="K217" s="160"/>
      <c r="L217" s="160"/>
      <c r="M217" s="160"/>
      <c r="N217" s="160"/>
      <c r="O217" s="160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  <c r="AD217" s="91"/>
      <c r="AE217" s="91"/>
      <c r="AF217" s="91"/>
      <c r="AG217" s="91"/>
      <c r="AH217" s="91"/>
      <c r="AI217" s="91"/>
      <c r="AJ217" s="91"/>
      <c r="AK217" s="91"/>
      <c r="AL217" s="91"/>
      <c r="AM217" s="91"/>
      <c r="AN217" s="91"/>
    </row>
    <row r="218">
      <c r="A218" s="164"/>
      <c r="B218" s="165"/>
      <c r="C218" s="165"/>
      <c r="D218" s="164"/>
      <c r="E218" s="164"/>
      <c r="F218" s="164"/>
      <c r="G218" s="91"/>
      <c r="H218" s="91"/>
      <c r="I218" s="91"/>
      <c r="J218" s="91"/>
      <c r="K218" s="160"/>
      <c r="L218" s="160"/>
      <c r="M218" s="160"/>
      <c r="N218" s="160"/>
      <c r="O218" s="160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  <c r="AD218" s="91"/>
      <c r="AE218" s="91"/>
      <c r="AF218" s="91"/>
      <c r="AG218" s="91"/>
      <c r="AH218" s="91"/>
      <c r="AI218" s="91"/>
      <c r="AJ218" s="91"/>
      <c r="AK218" s="91"/>
      <c r="AL218" s="91"/>
      <c r="AM218" s="91"/>
      <c r="AN218" s="91"/>
    </row>
    <row r="219">
      <c r="A219" s="164"/>
      <c r="B219" s="165"/>
      <c r="C219" s="165"/>
      <c r="D219" s="164"/>
      <c r="E219" s="164"/>
      <c r="F219" s="164"/>
      <c r="G219" s="91"/>
      <c r="H219" s="91"/>
      <c r="I219" s="91"/>
      <c r="J219" s="91"/>
      <c r="K219" s="160"/>
      <c r="L219" s="160"/>
      <c r="M219" s="160"/>
      <c r="N219" s="160"/>
      <c r="O219" s="160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  <c r="AD219" s="91"/>
      <c r="AE219" s="91"/>
      <c r="AF219" s="91"/>
      <c r="AG219" s="91"/>
      <c r="AH219" s="91"/>
      <c r="AI219" s="91"/>
      <c r="AJ219" s="91"/>
      <c r="AK219" s="91"/>
      <c r="AL219" s="91"/>
      <c r="AM219" s="91"/>
      <c r="AN219" s="91"/>
    </row>
    <row r="220">
      <c r="A220" s="164"/>
      <c r="B220" s="165"/>
      <c r="C220" s="165"/>
      <c r="D220" s="164"/>
      <c r="E220" s="164"/>
      <c r="F220" s="164"/>
      <c r="G220" s="91"/>
      <c r="H220" s="91"/>
      <c r="I220" s="91"/>
      <c r="J220" s="91"/>
      <c r="K220" s="160"/>
      <c r="L220" s="160"/>
      <c r="M220" s="160"/>
      <c r="N220" s="160"/>
      <c r="O220" s="160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91"/>
      <c r="AD220" s="91"/>
      <c r="AE220" s="91"/>
      <c r="AF220" s="91"/>
      <c r="AG220" s="91"/>
      <c r="AH220" s="91"/>
      <c r="AI220" s="91"/>
      <c r="AJ220" s="91"/>
      <c r="AK220" s="91"/>
      <c r="AL220" s="91"/>
      <c r="AM220" s="91"/>
      <c r="AN220" s="91"/>
    </row>
    <row r="221">
      <c r="A221" s="164"/>
      <c r="B221" s="165"/>
      <c r="C221" s="165"/>
      <c r="D221" s="164"/>
      <c r="E221" s="164"/>
      <c r="F221" s="164"/>
      <c r="G221" s="91"/>
      <c r="H221" s="91"/>
      <c r="I221" s="91"/>
      <c r="J221" s="91"/>
      <c r="K221" s="160"/>
      <c r="L221" s="160"/>
      <c r="M221" s="160"/>
      <c r="N221" s="160"/>
      <c r="O221" s="160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  <c r="AD221" s="91"/>
      <c r="AE221" s="91"/>
      <c r="AF221" s="91"/>
      <c r="AG221" s="91"/>
      <c r="AH221" s="91"/>
      <c r="AI221" s="91"/>
      <c r="AJ221" s="91"/>
      <c r="AK221" s="91"/>
      <c r="AL221" s="91"/>
      <c r="AM221" s="91"/>
      <c r="AN221" s="91"/>
    </row>
    <row r="222">
      <c r="A222" s="164"/>
      <c r="B222" s="165"/>
      <c r="C222" s="165"/>
      <c r="D222" s="164"/>
      <c r="E222" s="164"/>
      <c r="F222" s="164"/>
      <c r="G222" s="91"/>
      <c r="H222" s="91"/>
      <c r="I222" s="91"/>
      <c r="J222" s="91"/>
      <c r="K222" s="160"/>
      <c r="L222" s="160"/>
      <c r="M222" s="160"/>
      <c r="N222" s="160"/>
      <c r="O222" s="160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91"/>
      <c r="AD222" s="91"/>
      <c r="AE222" s="91"/>
      <c r="AF222" s="91"/>
      <c r="AG222" s="91"/>
      <c r="AH222" s="91"/>
      <c r="AI222" s="91"/>
      <c r="AJ222" s="91"/>
      <c r="AK222" s="91"/>
      <c r="AL222" s="91"/>
      <c r="AM222" s="91"/>
      <c r="AN222" s="91"/>
    </row>
    <row r="223">
      <c r="A223" s="164"/>
      <c r="B223" s="165"/>
      <c r="C223" s="165"/>
      <c r="D223" s="164"/>
      <c r="E223" s="164"/>
      <c r="F223" s="164"/>
      <c r="G223" s="91"/>
      <c r="H223" s="91"/>
      <c r="I223" s="91"/>
      <c r="J223" s="91"/>
      <c r="K223" s="160"/>
      <c r="L223" s="160"/>
      <c r="M223" s="160"/>
      <c r="N223" s="160"/>
      <c r="O223" s="160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1"/>
      <c r="AE223" s="91"/>
      <c r="AF223" s="91"/>
      <c r="AG223" s="91"/>
      <c r="AH223" s="91"/>
      <c r="AI223" s="91"/>
      <c r="AJ223" s="91"/>
      <c r="AK223" s="91"/>
      <c r="AL223" s="91"/>
      <c r="AM223" s="91"/>
      <c r="AN223" s="91"/>
    </row>
    <row r="224">
      <c r="A224" s="164"/>
      <c r="B224" s="165"/>
      <c r="C224" s="165"/>
      <c r="D224" s="164"/>
      <c r="E224" s="164"/>
      <c r="F224" s="164"/>
      <c r="G224" s="91"/>
      <c r="H224" s="91"/>
      <c r="I224" s="91"/>
      <c r="J224" s="91"/>
      <c r="K224" s="160"/>
      <c r="L224" s="160"/>
      <c r="M224" s="160"/>
      <c r="N224" s="160"/>
      <c r="O224" s="160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  <c r="AE224" s="91"/>
      <c r="AF224" s="91"/>
      <c r="AG224" s="91"/>
      <c r="AH224" s="91"/>
      <c r="AI224" s="91"/>
      <c r="AJ224" s="91"/>
      <c r="AK224" s="91"/>
      <c r="AL224" s="91"/>
      <c r="AM224" s="91"/>
      <c r="AN224" s="91"/>
    </row>
    <row r="225">
      <c r="A225" s="164"/>
      <c r="B225" s="165"/>
      <c r="C225" s="165"/>
      <c r="D225" s="164"/>
      <c r="E225" s="164"/>
      <c r="F225" s="164"/>
      <c r="G225" s="91"/>
      <c r="H225" s="91"/>
      <c r="I225" s="91"/>
      <c r="J225" s="91"/>
      <c r="K225" s="160"/>
      <c r="L225" s="160"/>
      <c r="M225" s="160"/>
      <c r="N225" s="160"/>
      <c r="O225" s="160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  <c r="AE225" s="91"/>
      <c r="AF225" s="91"/>
      <c r="AG225" s="91"/>
      <c r="AH225" s="91"/>
      <c r="AI225" s="91"/>
      <c r="AJ225" s="91"/>
      <c r="AK225" s="91"/>
      <c r="AL225" s="91"/>
      <c r="AM225" s="91"/>
      <c r="AN225" s="91"/>
    </row>
    <row r="226">
      <c r="A226" s="164"/>
      <c r="B226" s="165"/>
      <c r="C226" s="165"/>
      <c r="D226" s="164"/>
      <c r="E226" s="164"/>
      <c r="F226" s="164"/>
      <c r="G226" s="91"/>
      <c r="H226" s="91"/>
      <c r="I226" s="91"/>
      <c r="J226" s="91"/>
      <c r="K226" s="160"/>
      <c r="L226" s="160"/>
      <c r="M226" s="160"/>
      <c r="N226" s="160"/>
      <c r="O226" s="160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  <c r="AE226" s="91"/>
      <c r="AF226" s="91"/>
      <c r="AG226" s="91"/>
      <c r="AH226" s="91"/>
      <c r="AI226" s="91"/>
      <c r="AJ226" s="91"/>
      <c r="AK226" s="91"/>
      <c r="AL226" s="91"/>
      <c r="AM226" s="91"/>
      <c r="AN226" s="91"/>
    </row>
    <row r="227">
      <c r="A227" s="164"/>
      <c r="B227" s="165"/>
      <c r="C227" s="165"/>
      <c r="D227" s="164"/>
      <c r="E227" s="164"/>
      <c r="F227" s="164"/>
      <c r="G227" s="91"/>
      <c r="H227" s="91"/>
      <c r="I227" s="91"/>
      <c r="J227" s="91"/>
      <c r="K227" s="160"/>
      <c r="L227" s="160"/>
      <c r="M227" s="160"/>
      <c r="N227" s="160"/>
      <c r="O227" s="160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  <c r="AF227" s="91"/>
      <c r="AG227" s="91"/>
      <c r="AH227" s="91"/>
      <c r="AI227" s="91"/>
      <c r="AJ227" s="91"/>
      <c r="AK227" s="91"/>
      <c r="AL227" s="91"/>
      <c r="AM227" s="91"/>
      <c r="AN227" s="91"/>
    </row>
    <row r="228">
      <c r="A228" s="164"/>
      <c r="B228" s="165"/>
      <c r="C228" s="165"/>
      <c r="D228" s="164"/>
      <c r="E228" s="164"/>
      <c r="F228" s="164"/>
      <c r="G228" s="91"/>
      <c r="H228" s="91"/>
      <c r="I228" s="91"/>
      <c r="J228" s="91"/>
      <c r="K228" s="160"/>
      <c r="L228" s="160"/>
      <c r="M228" s="160"/>
      <c r="N228" s="160"/>
      <c r="O228" s="160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  <c r="AE228" s="91"/>
      <c r="AF228" s="91"/>
      <c r="AG228" s="91"/>
      <c r="AH228" s="91"/>
      <c r="AI228" s="91"/>
      <c r="AJ228" s="91"/>
      <c r="AK228" s="91"/>
      <c r="AL228" s="91"/>
      <c r="AM228" s="91"/>
      <c r="AN228" s="91"/>
    </row>
    <row r="229">
      <c r="A229" s="164"/>
      <c r="B229" s="165"/>
      <c r="C229" s="165"/>
      <c r="D229" s="164"/>
      <c r="E229" s="164"/>
      <c r="F229" s="164"/>
      <c r="G229" s="91"/>
      <c r="H229" s="91"/>
      <c r="I229" s="91"/>
      <c r="J229" s="91"/>
      <c r="K229" s="160"/>
      <c r="L229" s="160"/>
      <c r="M229" s="160"/>
      <c r="N229" s="160"/>
      <c r="O229" s="160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91"/>
      <c r="AF229" s="91"/>
      <c r="AG229" s="91"/>
      <c r="AH229" s="91"/>
      <c r="AI229" s="91"/>
      <c r="AJ229" s="91"/>
      <c r="AK229" s="91"/>
      <c r="AL229" s="91"/>
      <c r="AM229" s="91"/>
      <c r="AN229" s="91"/>
    </row>
    <row r="230">
      <c r="A230" s="164"/>
      <c r="B230" s="165"/>
      <c r="C230" s="165"/>
      <c r="D230" s="164"/>
      <c r="E230" s="164"/>
      <c r="F230" s="164"/>
      <c r="G230" s="91"/>
      <c r="H230" s="91"/>
      <c r="I230" s="91"/>
      <c r="J230" s="91"/>
      <c r="K230" s="160"/>
      <c r="L230" s="160"/>
      <c r="M230" s="160"/>
      <c r="N230" s="160"/>
      <c r="O230" s="160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  <c r="AF230" s="91"/>
      <c r="AG230" s="91"/>
      <c r="AH230" s="91"/>
      <c r="AI230" s="91"/>
      <c r="AJ230" s="91"/>
      <c r="AK230" s="91"/>
      <c r="AL230" s="91"/>
      <c r="AM230" s="91"/>
      <c r="AN230" s="91"/>
    </row>
    <row r="231">
      <c r="A231" s="164"/>
      <c r="B231" s="165"/>
      <c r="C231" s="165"/>
      <c r="D231" s="164"/>
      <c r="E231" s="164"/>
      <c r="F231" s="164"/>
      <c r="G231" s="91"/>
      <c r="H231" s="91"/>
      <c r="I231" s="91"/>
      <c r="J231" s="91"/>
      <c r="K231" s="160"/>
      <c r="L231" s="160"/>
      <c r="M231" s="160"/>
      <c r="N231" s="160"/>
      <c r="O231" s="160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91"/>
      <c r="AF231" s="91"/>
      <c r="AG231" s="91"/>
      <c r="AH231" s="91"/>
      <c r="AI231" s="91"/>
      <c r="AJ231" s="91"/>
      <c r="AK231" s="91"/>
      <c r="AL231" s="91"/>
      <c r="AM231" s="91"/>
      <c r="AN231" s="91"/>
    </row>
    <row r="232">
      <c r="A232" s="164"/>
      <c r="B232" s="165"/>
      <c r="C232" s="165"/>
      <c r="D232" s="164"/>
      <c r="E232" s="164"/>
      <c r="F232" s="164"/>
      <c r="G232" s="91"/>
      <c r="H232" s="91"/>
      <c r="I232" s="91"/>
      <c r="J232" s="91"/>
      <c r="K232" s="160"/>
      <c r="L232" s="160"/>
      <c r="M232" s="160"/>
      <c r="N232" s="160"/>
      <c r="O232" s="160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  <c r="AE232" s="91"/>
      <c r="AF232" s="91"/>
      <c r="AG232" s="91"/>
      <c r="AH232" s="91"/>
      <c r="AI232" s="91"/>
      <c r="AJ232" s="91"/>
      <c r="AK232" s="91"/>
      <c r="AL232" s="91"/>
      <c r="AM232" s="91"/>
      <c r="AN232" s="91"/>
    </row>
    <row r="233">
      <c r="A233" s="164"/>
      <c r="B233" s="165"/>
      <c r="C233" s="165"/>
      <c r="D233" s="164"/>
      <c r="E233" s="164"/>
      <c r="F233" s="164"/>
      <c r="G233" s="91"/>
      <c r="H233" s="91"/>
      <c r="I233" s="91"/>
      <c r="J233" s="91"/>
      <c r="K233" s="160"/>
      <c r="L233" s="160"/>
      <c r="M233" s="160"/>
      <c r="N233" s="160"/>
      <c r="O233" s="160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  <c r="AE233" s="91"/>
      <c r="AF233" s="91"/>
      <c r="AG233" s="91"/>
      <c r="AH233" s="91"/>
      <c r="AI233" s="91"/>
      <c r="AJ233" s="91"/>
      <c r="AK233" s="91"/>
      <c r="AL233" s="91"/>
      <c r="AM233" s="91"/>
      <c r="AN233" s="91"/>
    </row>
    <row r="234">
      <c r="A234" s="164"/>
      <c r="B234" s="165"/>
      <c r="C234" s="165"/>
      <c r="D234" s="164"/>
      <c r="E234" s="164"/>
      <c r="F234" s="164"/>
      <c r="G234" s="91"/>
      <c r="H234" s="91"/>
      <c r="I234" s="91"/>
      <c r="J234" s="91"/>
      <c r="K234" s="160"/>
      <c r="L234" s="160"/>
      <c r="M234" s="160"/>
      <c r="N234" s="160"/>
      <c r="O234" s="160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/>
      <c r="AF234" s="91"/>
      <c r="AG234" s="91"/>
      <c r="AH234" s="91"/>
      <c r="AI234" s="91"/>
      <c r="AJ234" s="91"/>
      <c r="AK234" s="91"/>
      <c r="AL234" s="91"/>
      <c r="AM234" s="91"/>
      <c r="AN234" s="91"/>
    </row>
    <row r="235">
      <c r="A235" s="164"/>
      <c r="B235" s="165"/>
      <c r="C235" s="165"/>
      <c r="D235" s="164"/>
      <c r="E235" s="164"/>
      <c r="F235" s="164"/>
      <c r="G235" s="91"/>
      <c r="H235" s="91"/>
      <c r="I235" s="91"/>
      <c r="J235" s="91"/>
      <c r="K235" s="160"/>
      <c r="L235" s="160"/>
      <c r="M235" s="160"/>
      <c r="N235" s="160"/>
      <c r="O235" s="160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  <c r="AE235" s="91"/>
      <c r="AF235" s="91"/>
      <c r="AG235" s="91"/>
      <c r="AH235" s="91"/>
      <c r="AI235" s="91"/>
      <c r="AJ235" s="91"/>
      <c r="AK235" s="91"/>
      <c r="AL235" s="91"/>
      <c r="AM235" s="91"/>
      <c r="AN235" s="91"/>
    </row>
    <row r="236">
      <c r="A236" s="164"/>
      <c r="B236" s="165"/>
      <c r="C236" s="165"/>
      <c r="D236" s="164"/>
      <c r="E236" s="164"/>
      <c r="F236" s="164"/>
      <c r="G236" s="91"/>
      <c r="H236" s="91"/>
      <c r="I236" s="91"/>
      <c r="J236" s="91"/>
      <c r="K236" s="160"/>
      <c r="L236" s="160"/>
      <c r="M236" s="160"/>
      <c r="N236" s="160"/>
      <c r="O236" s="160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  <c r="AE236" s="91"/>
      <c r="AF236" s="91"/>
      <c r="AG236" s="91"/>
      <c r="AH236" s="91"/>
      <c r="AI236" s="91"/>
      <c r="AJ236" s="91"/>
      <c r="AK236" s="91"/>
      <c r="AL236" s="91"/>
      <c r="AM236" s="91"/>
      <c r="AN236" s="91"/>
    </row>
    <row r="237">
      <c r="A237" s="164"/>
      <c r="B237" s="165"/>
      <c r="C237" s="165"/>
      <c r="D237" s="164"/>
      <c r="E237" s="164"/>
      <c r="F237" s="164"/>
      <c r="G237" s="91"/>
      <c r="H237" s="91"/>
      <c r="I237" s="91"/>
      <c r="J237" s="91"/>
      <c r="K237" s="160"/>
      <c r="L237" s="160"/>
      <c r="M237" s="160"/>
      <c r="N237" s="160"/>
      <c r="O237" s="160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  <c r="AE237" s="91"/>
      <c r="AF237" s="91"/>
      <c r="AG237" s="91"/>
      <c r="AH237" s="91"/>
      <c r="AI237" s="91"/>
      <c r="AJ237" s="91"/>
      <c r="AK237" s="91"/>
      <c r="AL237" s="91"/>
      <c r="AM237" s="91"/>
      <c r="AN237" s="91"/>
    </row>
    <row r="238">
      <c r="A238" s="164"/>
      <c r="B238" s="165"/>
      <c r="C238" s="165"/>
      <c r="D238" s="164"/>
      <c r="E238" s="164"/>
      <c r="F238" s="164"/>
      <c r="G238" s="91"/>
      <c r="H238" s="91"/>
      <c r="I238" s="91"/>
      <c r="J238" s="91"/>
      <c r="K238" s="160"/>
      <c r="L238" s="160"/>
      <c r="M238" s="160"/>
      <c r="N238" s="160"/>
      <c r="O238" s="160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  <c r="AE238" s="91"/>
      <c r="AF238" s="91"/>
      <c r="AG238" s="91"/>
      <c r="AH238" s="91"/>
      <c r="AI238" s="91"/>
      <c r="AJ238" s="91"/>
      <c r="AK238" s="91"/>
      <c r="AL238" s="91"/>
      <c r="AM238" s="91"/>
      <c r="AN238" s="91"/>
    </row>
    <row r="239">
      <c r="A239" s="164"/>
      <c r="B239" s="165"/>
      <c r="C239" s="165"/>
      <c r="D239" s="164"/>
      <c r="E239" s="164"/>
      <c r="F239" s="164"/>
      <c r="G239" s="91"/>
      <c r="H239" s="91"/>
      <c r="I239" s="91"/>
      <c r="J239" s="91"/>
      <c r="K239" s="160"/>
      <c r="L239" s="160"/>
      <c r="M239" s="160"/>
      <c r="N239" s="160"/>
      <c r="O239" s="160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  <c r="AE239" s="91"/>
      <c r="AF239" s="91"/>
      <c r="AG239" s="91"/>
      <c r="AH239" s="91"/>
      <c r="AI239" s="91"/>
      <c r="AJ239" s="91"/>
      <c r="AK239" s="91"/>
      <c r="AL239" s="91"/>
      <c r="AM239" s="91"/>
      <c r="AN239" s="91"/>
    </row>
    <row r="240">
      <c r="A240" s="164"/>
      <c r="B240" s="165"/>
      <c r="C240" s="165"/>
      <c r="D240" s="164"/>
      <c r="E240" s="164"/>
      <c r="F240" s="164"/>
      <c r="G240" s="91"/>
      <c r="H240" s="91"/>
      <c r="I240" s="91"/>
      <c r="J240" s="91"/>
      <c r="K240" s="160"/>
      <c r="L240" s="160"/>
      <c r="M240" s="160"/>
      <c r="N240" s="160"/>
      <c r="O240" s="160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1"/>
      <c r="AE240" s="91"/>
      <c r="AF240" s="91"/>
      <c r="AG240" s="91"/>
      <c r="AH240" s="91"/>
      <c r="AI240" s="91"/>
      <c r="AJ240" s="91"/>
      <c r="AK240" s="91"/>
      <c r="AL240" s="91"/>
      <c r="AM240" s="91"/>
      <c r="AN240" s="91"/>
    </row>
    <row r="241">
      <c r="A241" s="164"/>
      <c r="B241" s="165"/>
      <c r="C241" s="165"/>
      <c r="D241" s="164"/>
      <c r="E241" s="164"/>
      <c r="F241" s="164"/>
      <c r="G241" s="91"/>
      <c r="H241" s="91"/>
      <c r="I241" s="91"/>
      <c r="J241" s="91"/>
      <c r="K241" s="160"/>
      <c r="L241" s="160"/>
      <c r="M241" s="160"/>
      <c r="N241" s="160"/>
      <c r="O241" s="160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  <c r="AE241" s="91"/>
      <c r="AF241" s="91"/>
      <c r="AG241" s="91"/>
      <c r="AH241" s="91"/>
      <c r="AI241" s="91"/>
      <c r="AJ241" s="91"/>
      <c r="AK241" s="91"/>
      <c r="AL241" s="91"/>
      <c r="AM241" s="91"/>
      <c r="AN241" s="91"/>
    </row>
    <row r="242">
      <c r="A242" s="164"/>
      <c r="B242" s="165"/>
      <c r="C242" s="165"/>
      <c r="D242" s="164"/>
      <c r="E242" s="164"/>
      <c r="F242" s="164"/>
      <c r="G242" s="91"/>
      <c r="H242" s="91"/>
      <c r="I242" s="91"/>
      <c r="J242" s="91"/>
      <c r="K242" s="160"/>
      <c r="L242" s="160"/>
      <c r="M242" s="160"/>
      <c r="N242" s="160"/>
      <c r="O242" s="160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  <c r="AE242" s="91"/>
      <c r="AF242" s="91"/>
      <c r="AG242" s="91"/>
      <c r="AH242" s="91"/>
      <c r="AI242" s="91"/>
      <c r="AJ242" s="91"/>
      <c r="AK242" s="91"/>
      <c r="AL242" s="91"/>
      <c r="AM242" s="91"/>
      <c r="AN242" s="91"/>
    </row>
    <row r="243">
      <c r="A243" s="164"/>
      <c r="B243" s="165"/>
      <c r="C243" s="165"/>
      <c r="D243" s="164"/>
      <c r="E243" s="164"/>
      <c r="F243" s="164"/>
      <c r="G243" s="91"/>
      <c r="H243" s="91"/>
      <c r="I243" s="91"/>
      <c r="J243" s="91"/>
      <c r="K243" s="160"/>
      <c r="L243" s="160"/>
      <c r="M243" s="160"/>
      <c r="N243" s="160"/>
      <c r="O243" s="160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1"/>
      <c r="AE243" s="91"/>
      <c r="AF243" s="91"/>
      <c r="AG243" s="91"/>
      <c r="AH243" s="91"/>
      <c r="AI243" s="91"/>
      <c r="AJ243" s="91"/>
      <c r="AK243" s="91"/>
      <c r="AL243" s="91"/>
      <c r="AM243" s="91"/>
      <c r="AN243" s="91"/>
    </row>
    <row r="244">
      <c r="A244" s="164"/>
      <c r="B244" s="165"/>
      <c r="C244" s="165"/>
      <c r="D244" s="164"/>
      <c r="E244" s="164"/>
      <c r="F244" s="164"/>
      <c r="G244" s="91"/>
      <c r="H244" s="91"/>
      <c r="I244" s="91"/>
      <c r="J244" s="91"/>
      <c r="K244" s="160"/>
      <c r="L244" s="160"/>
      <c r="M244" s="160"/>
      <c r="N244" s="160"/>
      <c r="O244" s="160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  <c r="AE244" s="91"/>
      <c r="AF244" s="91"/>
      <c r="AG244" s="91"/>
      <c r="AH244" s="91"/>
      <c r="AI244" s="91"/>
      <c r="AJ244" s="91"/>
      <c r="AK244" s="91"/>
      <c r="AL244" s="91"/>
      <c r="AM244" s="91"/>
      <c r="AN244" s="91"/>
    </row>
    <row r="245">
      <c r="A245" s="164"/>
      <c r="B245" s="165"/>
      <c r="C245" s="165"/>
      <c r="D245" s="164"/>
      <c r="E245" s="164"/>
      <c r="F245" s="164"/>
      <c r="G245" s="91"/>
      <c r="H245" s="91"/>
      <c r="I245" s="91"/>
      <c r="J245" s="91"/>
      <c r="K245" s="160"/>
      <c r="L245" s="160"/>
      <c r="M245" s="160"/>
      <c r="N245" s="160"/>
      <c r="O245" s="160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  <c r="AE245" s="91"/>
      <c r="AF245" s="91"/>
      <c r="AG245" s="91"/>
      <c r="AH245" s="91"/>
      <c r="AI245" s="91"/>
      <c r="AJ245" s="91"/>
      <c r="AK245" s="91"/>
      <c r="AL245" s="91"/>
      <c r="AM245" s="91"/>
      <c r="AN245" s="91"/>
    </row>
    <row r="246">
      <c r="A246" s="164"/>
      <c r="B246" s="165"/>
      <c r="C246" s="165"/>
      <c r="D246" s="164"/>
      <c r="E246" s="164"/>
      <c r="F246" s="164"/>
      <c r="G246" s="91"/>
      <c r="H246" s="91"/>
      <c r="I246" s="91"/>
      <c r="J246" s="91"/>
      <c r="K246" s="160"/>
      <c r="L246" s="160"/>
      <c r="M246" s="160"/>
      <c r="N246" s="160"/>
      <c r="O246" s="160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  <c r="AF246" s="91"/>
      <c r="AG246" s="91"/>
      <c r="AH246" s="91"/>
      <c r="AI246" s="91"/>
      <c r="AJ246" s="91"/>
      <c r="AK246" s="91"/>
      <c r="AL246" s="91"/>
      <c r="AM246" s="91"/>
      <c r="AN246" s="91"/>
    </row>
    <row r="247">
      <c r="A247" s="164"/>
      <c r="B247" s="165"/>
      <c r="C247" s="165"/>
      <c r="D247" s="164"/>
      <c r="E247" s="164"/>
      <c r="F247" s="164"/>
      <c r="G247" s="91"/>
      <c r="H247" s="91"/>
      <c r="I247" s="91"/>
      <c r="J247" s="91"/>
      <c r="K247" s="160"/>
      <c r="L247" s="160"/>
      <c r="M247" s="160"/>
      <c r="N247" s="160"/>
      <c r="O247" s="160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  <c r="AF247" s="91"/>
      <c r="AG247" s="91"/>
      <c r="AH247" s="91"/>
      <c r="AI247" s="91"/>
      <c r="AJ247" s="91"/>
      <c r="AK247" s="91"/>
      <c r="AL247" s="91"/>
      <c r="AM247" s="91"/>
      <c r="AN247" s="91"/>
    </row>
    <row r="248">
      <c r="A248" s="164"/>
      <c r="B248" s="165"/>
      <c r="C248" s="165"/>
      <c r="D248" s="164"/>
      <c r="E248" s="164"/>
      <c r="F248" s="164"/>
      <c r="G248" s="91"/>
      <c r="H248" s="91"/>
      <c r="I248" s="91"/>
      <c r="J248" s="91"/>
      <c r="K248" s="160"/>
      <c r="L248" s="160"/>
      <c r="M248" s="160"/>
      <c r="N248" s="160"/>
      <c r="O248" s="160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  <c r="AF248" s="91"/>
      <c r="AG248" s="91"/>
      <c r="AH248" s="91"/>
      <c r="AI248" s="91"/>
      <c r="AJ248" s="91"/>
      <c r="AK248" s="91"/>
      <c r="AL248" s="91"/>
      <c r="AM248" s="91"/>
      <c r="AN248" s="91"/>
    </row>
    <row r="249">
      <c r="A249" s="164"/>
      <c r="B249" s="165"/>
      <c r="C249" s="165"/>
      <c r="D249" s="164"/>
      <c r="E249" s="164"/>
      <c r="F249" s="164"/>
      <c r="G249" s="91"/>
      <c r="H249" s="91"/>
      <c r="I249" s="91"/>
      <c r="J249" s="91"/>
      <c r="K249" s="160"/>
      <c r="L249" s="160"/>
      <c r="M249" s="160"/>
      <c r="N249" s="160"/>
      <c r="O249" s="160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1"/>
      <c r="AE249" s="91"/>
      <c r="AF249" s="91"/>
      <c r="AG249" s="91"/>
      <c r="AH249" s="91"/>
      <c r="AI249" s="91"/>
      <c r="AJ249" s="91"/>
      <c r="AK249" s="91"/>
      <c r="AL249" s="91"/>
      <c r="AM249" s="91"/>
      <c r="AN249" s="91"/>
    </row>
    <row r="250">
      <c r="A250" s="164"/>
      <c r="B250" s="165"/>
      <c r="C250" s="165"/>
      <c r="D250" s="164"/>
      <c r="E250" s="164"/>
      <c r="F250" s="164"/>
      <c r="G250" s="91"/>
      <c r="H250" s="91"/>
      <c r="I250" s="91"/>
      <c r="J250" s="91"/>
      <c r="K250" s="160"/>
      <c r="L250" s="160"/>
      <c r="M250" s="160"/>
      <c r="N250" s="160"/>
      <c r="O250" s="160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1"/>
      <c r="AE250" s="91"/>
      <c r="AF250" s="91"/>
      <c r="AG250" s="91"/>
      <c r="AH250" s="91"/>
      <c r="AI250" s="91"/>
      <c r="AJ250" s="91"/>
      <c r="AK250" s="91"/>
      <c r="AL250" s="91"/>
      <c r="AM250" s="91"/>
      <c r="AN250" s="91"/>
    </row>
    <row r="251">
      <c r="A251" s="164"/>
      <c r="B251" s="165"/>
      <c r="C251" s="165"/>
      <c r="D251" s="164"/>
      <c r="E251" s="164"/>
      <c r="F251" s="164"/>
      <c r="G251" s="91"/>
      <c r="H251" s="91"/>
      <c r="I251" s="91"/>
      <c r="J251" s="91"/>
      <c r="K251" s="160"/>
      <c r="L251" s="160"/>
      <c r="M251" s="160"/>
      <c r="N251" s="160"/>
      <c r="O251" s="160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1"/>
      <c r="AE251" s="91"/>
      <c r="AF251" s="91"/>
      <c r="AG251" s="91"/>
      <c r="AH251" s="91"/>
      <c r="AI251" s="91"/>
      <c r="AJ251" s="91"/>
      <c r="AK251" s="91"/>
      <c r="AL251" s="91"/>
      <c r="AM251" s="91"/>
      <c r="AN251" s="91"/>
    </row>
    <row r="252">
      <c r="A252" s="164"/>
      <c r="B252" s="165"/>
      <c r="C252" s="165"/>
      <c r="D252" s="164"/>
      <c r="E252" s="164"/>
      <c r="F252" s="164"/>
      <c r="G252" s="91"/>
      <c r="H252" s="91"/>
      <c r="I252" s="91"/>
      <c r="J252" s="91"/>
      <c r="K252" s="160"/>
      <c r="L252" s="160"/>
      <c r="M252" s="160"/>
      <c r="N252" s="160"/>
      <c r="O252" s="160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1"/>
      <c r="AE252" s="91"/>
      <c r="AF252" s="91"/>
      <c r="AG252" s="91"/>
      <c r="AH252" s="91"/>
      <c r="AI252" s="91"/>
      <c r="AJ252" s="91"/>
      <c r="AK252" s="91"/>
      <c r="AL252" s="91"/>
      <c r="AM252" s="91"/>
      <c r="AN252" s="91"/>
    </row>
    <row r="253">
      <c r="A253" s="164"/>
      <c r="B253" s="165"/>
      <c r="C253" s="165"/>
      <c r="D253" s="164"/>
      <c r="E253" s="164"/>
      <c r="F253" s="164"/>
      <c r="G253" s="91"/>
      <c r="H253" s="91"/>
      <c r="I253" s="91"/>
      <c r="J253" s="91"/>
      <c r="K253" s="160"/>
      <c r="L253" s="160"/>
      <c r="M253" s="160"/>
      <c r="N253" s="160"/>
      <c r="O253" s="160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1"/>
      <c r="AE253" s="91"/>
      <c r="AF253" s="91"/>
      <c r="AG253" s="91"/>
      <c r="AH253" s="91"/>
      <c r="AI253" s="91"/>
      <c r="AJ253" s="91"/>
      <c r="AK253" s="91"/>
      <c r="AL253" s="91"/>
      <c r="AM253" s="91"/>
      <c r="AN253" s="91"/>
    </row>
    <row r="254">
      <c r="A254" s="164"/>
      <c r="B254" s="165"/>
      <c r="C254" s="165"/>
      <c r="D254" s="164"/>
      <c r="E254" s="164"/>
      <c r="F254" s="164"/>
      <c r="G254" s="91"/>
      <c r="H254" s="91"/>
      <c r="I254" s="91"/>
      <c r="J254" s="91"/>
      <c r="K254" s="160"/>
      <c r="L254" s="160"/>
      <c r="M254" s="160"/>
      <c r="N254" s="160"/>
      <c r="O254" s="160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1"/>
      <c r="AE254" s="91"/>
      <c r="AF254" s="91"/>
      <c r="AG254" s="91"/>
      <c r="AH254" s="91"/>
      <c r="AI254" s="91"/>
      <c r="AJ254" s="91"/>
      <c r="AK254" s="91"/>
      <c r="AL254" s="91"/>
      <c r="AM254" s="91"/>
      <c r="AN254" s="91"/>
    </row>
    <row r="255">
      <c r="A255" s="164"/>
      <c r="B255" s="165"/>
      <c r="C255" s="165"/>
      <c r="D255" s="164"/>
      <c r="E255" s="164"/>
      <c r="F255" s="164"/>
      <c r="G255" s="91"/>
      <c r="H255" s="91"/>
      <c r="I255" s="91"/>
      <c r="J255" s="91"/>
      <c r="K255" s="160"/>
      <c r="L255" s="160"/>
      <c r="M255" s="160"/>
      <c r="N255" s="160"/>
      <c r="O255" s="160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1"/>
      <c r="AE255" s="91"/>
      <c r="AF255" s="91"/>
      <c r="AG255" s="91"/>
      <c r="AH255" s="91"/>
      <c r="AI255" s="91"/>
      <c r="AJ255" s="91"/>
      <c r="AK255" s="91"/>
      <c r="AL255" s="91"/>
      <c r="AM255" s="91"/>
      <c r="AN255" s="91"/>
    </row>
    <row r="256">
      <c r="A256" s="164"/>
      <c r="B256" s="165"/>
      <c r="C256" s="165"/>
      <c r="D256" s="164"/>
      <c r="E256" s="164"/>
      <c r="F256" s="164"/>
      <c r="G256" s="91"/>
      <c r="H256" s="91"/>
      <c r="I256" s="91"/>
      <c r="J256" s="91"/>
      <c r="K256" s="160"/>
      <c r="L256" s="160"/>
      <c r="M256" s="160"/>
      <c r="N256" s="160"/>
      <c r="O256" s="160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  <c r="AE256" s="91"/>
      <c r="AF256" s="91"/>
      <c r="AG256" s="91"/>
      <c r="AH256" s="91"/>
      <c r="AI256" s="91"/>
      <c r="AJ256" s="91"/>
      <c r="AK256" s="91"/>
      <c r="AL256" s="91"/>
      <c r="AM256" s="91"/>
      <c r="AN256" s="91"/>
    </row>
    <row r="257">
      <c r="A257" s="164"/>
      <c r="B257" s="165"/>
      <c r="C257" s="165"/>
      <c r="D257" s="164"/>
      <c r="E257" s="164"/>
      <c r="F257" s="164"/>
      <c r="G257" s="91"/>
      <c r="H257" s="91"/>
      <c r="I257" s="91"/>
      <c r="J257" s="91"/>
      <c r="K257" s="160"/>
      <c r="L257" s="160"/>
      <c r="M257" s="160"/>
      <c r="N257" s="160"/>
      <c r="O257" s="160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1"/>
      <c r="AE257" s="91"/>
      <c r="AF257" s="91"/>
      <c r="AG257" s="91"/>
      <c r="AH257" s="91"/>
      <c r="AI257" s="91"/>
      <c r="AJ257" s="91"/>
      <c r="AK257" s="91"/>
      <c r="AL257" s="91"/>
      <c r="AM257" s="91"/>
      <c r="AN257" s="91"/>
    </row>
    <row r="258">
      <c r="A258" s="164"/>
      <c r="B258" s="165"/>
      <c r="C258" s="165"/>
      <c r="D258" s="164"/>
      <c r="E258" s="164"/>
      <c r="F258" s="164"/>
      <c r="G258" s="91"/>
      <c r="H258" s="91"/>
      <c r="I258" s="91"/>
      <c r="J258" s="91"/>
      <c r="K258" s="160"/>
      <c r="L258" s="160"/>
      <c r="M258" s="160"/>
      <c r="N258" s="160"/>
      <c r="O258" s="160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  <c r="AF258" s="91"/>
      <c r="AG258" s="91"/>
      <c r="AH258" s="91"/>
      <c r="AI258" s="91"/>
      <c r="AJ258" s="91"/>
      <c r="AK258" s="91"/>
      <c r="AL258" s="91"/>
      <c r="AM258" s="91"/>
      <c r="AN258" s="91"/>
    </row>
    <row r="259">
      <c r="A259" s="164"/>
      <c r="B259" s="165"/>
      <c r="C259" s="165"/>
      <c r="D259" s="164"/>
      <c r="E259" s="164"/>
      <c r="F259" s="164"/>
      <c r="G259" s="91"/>
      <c r="H259" s="91"/>
      <c r="I259" s="91"/>
      <c r="J259" s="91"/>
      <c r="K259" s="160"/>
      <c r="L259" s="160"/>
      <c r="M259" s="160"/>
      <c r="N259" s="160"/>
      <c r="O259" s="160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  <c r="AE259" s="91"/>
      <c r="AF259" s="91"/>
      <c r="AG259" s="91"/>
      <c r="AH259" s="91"/>
      <c r="AI259" s="91"/>
      <c r="AJ259" s="91"/>
      <c r="AK259" s="91"/>
      <c r="AL259" s="91"/>
      <c r="AM259" s="91"/>
      <c r="AN259" s="91"/>
    </row>
    <row r="260">
      <c r="A260" s="164"/>
      <c r="B260" s="165"/>
      <c r="C260" s="165"/>
      <c r="D260" s="164"/>
      <c r="E260" s="164"/>
      <c r="F260" s="164"/>
      <c r="G260" s="91"/>
      <c r="H260" s="91"/>
      <c r="I260" s="91"/>
      <c r="J260" s="91"/>
      <c r="K260" s="160"/>
      <c r="L260" s="160"/>
      <c r="M260" s="160"/>
      <c r="N260" s="160"/>
      <c r="O260" s="160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  <c r="AE260" s="91"/>
      <c r="AF260" s="91"/>
      <c r="AG260" s="91"/>
      <c r="AH260" s="91"/>
      <c r="AI260" s="91"/>
      <c r="AJ260" s="91"/>
      <c r="AK260" s="91"/>
      <c r="AL260" s="91"/>
      <c r="AM260" s="91"/>
      <c r="AN260" s="91"/>
    </row>
    <row r="261">
      <c r="A261" s="164"/>
      <c r="B261" s="165"/>
      <c r="C261" s="165"/>
      <c r="D261" s="164"/>
      <c r="E261" s="164"/>
      <c r="F261" s="164"/>
      <c r="G261" s="91"/>
      <c r="H261" s="91"/>
      <c r="I261" s="91"/>
      <c r="J261" s="91"/>
      <c r="K261" s="160"/>
      <c r="L261" s="160"/>
      <c r="M261" s="160"/>
      <c r="N261" s="160"/>
      <c r="O261" s="160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1"/>
      <c r="AE261" s="91"/>
      <c r="AF261" s="91"/>
      <c r="AG261" s="91"/>
      <c r="AH261" s="91"/>
      <c r="AI261" s="91"/>
      <c r="AJ261" s="91"/>
      <c r="AK261" s="91"/>
      <c r="AL261" s="91"/>
      <c r="AM261" s="91"/>
      <c r="AN261" s="91"/>
    </row>
    <row r="262">
      <c r="A262" s="164"/>
      <c r="B262" s="165"/>
      <c r="C262" s="165"/>
      <c r="D262" s="164"/>
      <c r="E262" s="164"/>
      <c r="F262" s="164"/>
      <c r="G262" s="91"/>
      <c r="H262" s="91"/>
      <c r="I262" s="91"/>
      <c r="J262" s="91"/>
      <c r="K262" s="160"/>
      <c r="L262" s="160"/>
      <c r="M262" s="160"/>
      <c r="N262" s="160"/>
      <c r="O262" s="160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1"/>
      <c r="AE262" s="91"/>
      <c r="AF262" s="91"/>
      <c r="AG262" s="91"/>
      <c r="AH262" s="91"/>
      <c r="AI262" s="91"/>
      <c r="AJ262" s="91"/>
      <c r="AK262" s="91"/>
      <c r="AL262" s="91"/>
      <c r="AM262" s="91"/>
      <c r="AN262" s="91"/>
    </row>
    <row r="263">
      <c r="A263" s="164"/>
      <c r="B263" s="165"/>
      <c r="C263" s="165"/>
      <c r="D263" s="164"/>
      <c r="E263" s="164"/>
      <c r="F263" s="164"/>
      <c r="G263" s="91"/>
      <c r="H263" s="91"/>
      <c r="I263" s="91"/>
      <c r="J263" s="91"/>
      <c r="K263" s="160"/>
      <c r="L263" s="160"/>
      <c r="M263" s="160"/>
      <c r="N263" s="160"/>
      <c r="O263" s="160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  <c r="AD263" s="91"/>
      <c r="AE263" s="91"/>
      <c r="AF263" s="91"/>
      <c r="AG263" s="91"/>
      <c r="AH263" s="91"/>
      <c r="AI263" s="91"/>
      <c r="AJ263" s="91"/>
      <c r="AK263" s="91"/>
      <c r="AL263" s="91"/>
      <c r="AM263" s="91"/>
      <c r="AN263" s="91"/>
    </row>
    <row r="264">
      <c r="A264" s="164"/>
      <c r="B264" s="165"/>
      <c r="C264" s="165"/>
      <c r="D264" s="164"/>
      <c r="E264" s="164"/>
      <c r="F264" s="164"/>
      <c r="G264" s="91"/>
      <c r="H264" s="91"/>
      <c r="I264" s="91"/>
      <c r="J264" s="91"/>
      <c r="K264" s="160"/>
      <c r="L264" s="160"/>
      <c r="M264" s="160"/>
      <c r="N264" s="160"/>
      <c r="O264" s="160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  <c r="AE264" s="91"/>
      <c r="AF264" s="91"/>
      <c r="AG264" s="91"/>
      <c r="AH264" s="91"/>
      <c r="AI264" s="91"/>
      <c r="AJ264" s="91"/>
      <c r="AK264" s="91"/>
      <c r="AL264" s="91"/>
      <c r="AM264" s="91"/>
      <c r="AN264" s="91"/>
    </row>
    <row r="265">
      <c r="A265" s="164"/>
      <c r="B265" s="165"/>
      <c r="C265" s="165"/>
      <c r="D265" s="164"/>
      <c r="E265" s="164"/>
      <c r="F265" s="164"/>
      <c r="G265" s="91"/>
      <c r="H265" s="91"/>
      <c r="I265" s="91"/>
      <c r="J265" s="91"/>
      <c r="K265" s="160"/>
      <c r="L265" s="160"/>
      <c r="M265" s="160"/>
      <c r="N265" s="160"/>
      <c r="O265" s="160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91"/>
      <c r="AD265" s="91"/>
      <c r="AE265" s="91"/>
      <c r="AF265" s="91"/>
      <c r="AG265" s="91"/>
      <c r="AH265" s="91"/>
      <c r="AI265" s="91"/>
      <c r="AJ265" s="91"/>
      <c r="AK265" s="91"/>
      <c r="AL265" s="91"/>
      <c r="AM265" s="91"/>
      <c r="AN265" s="91"/>
    </row>
    <row r="266">
      <c r="A266" s="164"/>
      <c r="B266" s="165"/>
      <c r="C266" s="165"/>
      <c r="D266" s="164"/>
      <c r="E266" s="164"/>
      <c r="F266" s="164"/>
      <c r="G266" s="91"/>
      <c r="H266" s="91"/>
      <c r="I266" s="91"/>
      <c r="J266" s="91"/>
      <c r="K266" s="160"/>
      <c r="L266" s="160"/>
      <c r="M266" s="160"/>
      <c r="N266" s="160"/>
      <c r="O266" s="160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  <c r="AC266" s="91"/>
      <c r="AD266" s="91"/>
      <c r="AE266" s="91"/>
      <c r="AF266" s="91"/>
      <c r="AG266" s="91"/>
      <c r="AH266" s="91"/>
      <c r="AI266" s="91"/>
      <c r="AJ266" s="91"/>
      <c r="AK266" s="91"/>
      <c r="AL266" s="91"/>
      <c r="AM266" s="91"/>
      <c r="AN266" s="91"/>
    </row>
    <row r="267">
      <c r="A267" s="164"/>
      <c r="B267" s="165"/>
      <c r="C267" s="165"/>
      <c r="D267" s="164"/>
      <c r="E267" s="164"/>
      <c r="F267" s="164"/>
      <c r="G267" s="91"/>
      <c r="H267" s="91"/>
      <c r="I267" s="91"/>
      <c r="J267" s="91"/>
      <c r="K267" s="160"/>
      <c r="L267" s="160"/>
      <c r="M267" s="160"/>
      <c r="N267" s="160"/>
      <c r="O267" s="160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  <c r="AD267" s="91"/>
      <c r="AE267" s="91"/>
      <c r="AF267" s="91"/>
      <c r="AG267" s="91"/>
      <c r="AH267" s="91"/>
      <c r="AI267" s="91"/>
      <c r="AJ267" s="91"/>
      <c r="AK267" s="91"/>
      <c r="AL267" s="91"/>
      <c r="AM267" s="91"/>
      <c r="AN267" s="91"/>
    </row>
    <row r="268">
      <c r="A268" s="164"/>
      <c r="B268" s="165"/>
      <c r="C268" s="165"/>
      <c r="D268" s="164"/>
      <c r="E268" s="164"/>
      <c r="F268" s="164"/>
      <c r="G268" s="91"/>
      <c r="H268" s="91"/>
      <c r="I268" s="91"/>
      <c r="J268" s="91"/>
      <c r="K268" s="160"/>
      <c r="L268" s="160"/>
      <c r="M268" s="160"/>
      <c r="N268" s="160"/>
      <c r="O268" s="160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91"/>
      <c r="AD268" s="91"/>
      <c r="AE268" s="91"/>
      <c r="AF268" s="91"/>
      <c r="AG268" s="91"/>
      <c r="AH268" s="91"/>
      <c r="AI268" s="91"/>
      <c r="AJ268" s="91"/>
      <c r="AK268" s="91"/>
      <c r="AL268" s="91"/>
      <c r="AM268" s="91"/>
      <c r="AN268" s="91"/>
    </row>
    <row r="269">
      <c r="A269" s="164"/>
      <c r="B269" s="165"/>
      <c r="C269" s="165"/>
      <c r="D269" s="164"/>
      <c r="E269" s="164"/>
      <c r="F269" s="164"/>
      <c r="G269" s="91"/>
      <c r="H269" s="91"/>
      <c r="I269" s="91"/>
      <c r="J269" s="91"/>
      <c r="K269" s="160"/>
      <c r="L269" s="160"/>
      <c r="M269" s="160"/>
      <c r="N269" s="160"/>
      <c r="O269" s="160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91"/>
      <c r="AE269" s="91"/>
      <c r="AF269" s="91"/>
      <c r="AG269" s="91"/>
      <c r="AH269" s="91"/>
      <c r="AI269" s="91"/>
      <c r="AJ269" s="91"/>
      <c r="AK269" s="91"/>
      <c r="AL269" s="91"/>
      <c r="AM269" s="91"/>
      <c r="AN269" s="91"/>
    </row>
    <row r="270">
      <c r="A270" s="164"/>
      <c r="B270" s="165"/>
      <c r="C270" s="165"/>
      <c r="D270" s="164"/>
      <c r="E270" s="164"/>
      <c r="F270" s="164"/>
      <c r="G270" s="91"/>
      <c r="H270" s="91"/>
      <c r="I270" s="91"/>
      <c r="J270" s="91"/>
      <c r="K270" s="160"/>
      <c r="L270" s="160"/>
      <c r="M270" s="160"/>
      <c r="N270" s="160"/>
      <c r="O270" s="160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91"/>
      <c r="AD270" s="91"/>
      <c r="AE270" s="91"/>
      <c r="AF270" s="91"/>
      <c r="AG270" s="91"/>
      <c r="AH270" s="91"/>
      <c r="AI270" s="91"/>
      <c r="AJ270" s="91"/>
      <c r="AK270" s="91"/>
      <c r="AL270" s="91"/>
      <c r="AM270" s="91"/>
      <c r="AN270" s="91"/>
    </row>
    <row r="271">
      <c r="A271" s="164"/>
      <c r="B271" s="165"/>
      <c r="C271" s="165"/>
      <c r="D271" s="164"/>
      <c r="E271" s="164"/>
      <c r="F271" s="164"/>
      <c r="G271" s="91"/>
      <c r="H271" s="91"/>
      <c r="I271" s="91"/>
      <c r="J271" s="91"/>
      <c r="K271" s="160"/>
      <c r="L271" s="160"/>
      <c r="M271" s="160"/>
      <c r="N271" s="160"/>
      <c r="O271" s="160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  <c r="AD271" s="91"/>
      <c r="AE271" s="91"/>
      <c r="AF271" s="91"/>
      <c r="AG271" s="91"/>
      <c r="AH271" s="91"/>
      <c r="AI271" s="91"/>
      <c r="AJ271" s="91"/>
      <c r="AK271" s="91"/>
      <c r="AL271" s="91"/>
      <c r="AM271" s="91"/>
      <c r="AN271" s="91"/>
    </row>
    <row r="272">
      <c r="A272" s="164"/>
      <c r="B272" s="165"/>
      <c r="C272" s="165"/>
      <c r="D272" s="164"/>
      <c r="E272" s="164"/>
      <c r="F272" s="164"/>
      <c r="G272" s="91"/>
      <c r="H272" s="91"/>
      <c r="I272" s="91"/>
      <c r="J272" s="91"/>
      <c r="K272" s="160"/>
      <c r="L272" s="160"/>
      <c r="M272" s="160"/>
      <c r="N272" s="160"/>
      <c r="O272" s="160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  <c r="AD272" s="91"/>
      <c r="AE272" s="91"/>
      <c r="AF272" s="91"/>
      <c r="AG272" s="91"/>
      <c r="AH272" s="91"/>
      <c r="AI272" s="91"/>
      <c r="AJ272" s="91"/>
      <c r="AK272" s="91"/>
      <c r="AL272" s="91"/>
      <c r="AM272" s="91"/>
      <c r="AN272" s="91"/>
    </row>
    <row r="273">
      <c r="A273" s="164"/>
      <c r="B273" s="165"/>
      <c r="C273" s="165"/>
      <c r="D273" s="164"/>
      <c r="E273" s="164"/>
      <c r="F273" s="164"/>
      <c r="G273" s="91"/>
      <c r="H273" s="91"/>
      <c r="I273" s="91"/>
      <c r="J273" s="91"/>
      <c r="K273" s="160"/>
      <c r="L273" s="160"/>
      <c r="M273" s="160"/>
      <c r="N273" s="160"/>
      <c r="O273" s="160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  <c r="AD273" s="91"/>
      <c r="AE273" s="91"/>
      <c r="AF273" s="91"/>
      <c r="AG273" s="91"/>
      <c r="AH273" s="91"/>
      <c r="AI273" s="91"/>
      <c r="AJ273" s="91"/>
      <c r="AK273" s="91"/>
      <c r="AL273" s="91"/>
      <c r="AM273" s="91"/>
      <c r="AN273" s="91"/>
    </row>
    <row r="274">
      <c r="A274" s="164"/>
      <c r="B274" s="165"/>
      <c r="C274" s="165"/>
      <c r="D274" s="164"/>
      <c r="E274" s="164"/>
      <c r="F274" s="164"/>
      <c r="G274" s="91"/>
      <c r="H274" s="91"/>
      <c r="I274" s="91"/>
      <c r="J274" s="91"/>
      <c r="K274" s="160"/>
      <c r="L274" s="160"/>
      <c r="M274" s="160"/>
      <c r="N274" s="160"/>
      <c r="O274" s="160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1"/>
      <c r="AE274" s="91"/>
      <c r="AF274" s="91"/>
      <c r="AG274" s="91"/>
      <c r="AH274" s="91"/>
      <c r="AI274" s="91"/>
      <c r="AJ274" s="91"/>
      <c r="AK274" s="91"/>
      <c r="AL274" s="91"/>
      <c r="AM274" s="91"/>
      <c r="AN274" s="91"/>
    </row>
    <row r="275">
      <c r="A275" s="164"/>
      <c r="B275" s="165"/>
      <c r="C275" s="165"/>
      <c r="D275" s="164"/>
      <c r="E275" s="164"/>
      <c r="F275" s="164"/>
      <c r="G275" s="91"/>
      <c r="H275" s="91"/>
      <c r="I275" s="91"/>
      <c r="J275" s="91"/>
      <c r="K275" s="160"/>
      <c r="L275" s="160"/>
      <c r="M275" s="160"/>
      <c r="N275" s="160"/>
      <c r="O275" s="160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  <c r="AD275" s="91"/>
      <c r="AE275" s="91"/>
      <c r="AF275" s="91"/>
      <c r="AG275" s="91"/>
      <c r="AH275" s="91"/>
      <c r="AI275" s="91"/>
      <c r="AJ275" s="91"/>
      <c r="AK275" s="91"/>
      <c r="AL275" s="91"/>
      <c r="AM275" s="91"/>
      <c r="AN275" s="91"/>
    </row>
    <row r="276">
      <c r="A276" s="164"/>
      <c r="B276" s="165"/>
      <c r="C276" s="165"/>
      <c r="D276" s="164"/>
      <c r="E276" s="164"/>
      <c r="F276" s="164"/>
      <c r="G276" s="91"/>
      <c r="H276" s="91"/>
      <c r="I276" s="91"/>
      <c r="J276" s="91"/>
      <c r="K276" s="160"/>
      <c r="L276" s="160"/>
      <c r="M276" s="160"/>
      <c r="N276" s="160"/>
      <c r="O276" s="160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1"/>
      <c r="AE276" s="91"/>
      <c r="AF276" s="91"/>
      <c r="AG276" s="91"/>
      <c r="AH276" s="91"/>
      <c r="AI276" s="91"/>
      <c r="AJ276" s="91"/>
      <c r="AK276" s="91"/>
      <c r="AL276" s="91"/>
      <c r="AM276" s="91"/>
      <c r="AN276" s="91"/>
    </row>
    <row r="277">
      <c r="A277" s="164"/>
      <c r="B277" s="165"/>
      <c r="C277" s="165"/>
      <c r="D277" s="164"/>
      <c r="E277" s="164"/>
      <c r="F277" s="164"/>
      <c r="G277" s="91"/>
      <c r="H277" s="91"/>
      <c r="I277" s="91"/>
      <c r="J277" s="91"/>
      <c r="K277" s="160"/>
      <c r="L277" s="160"/>
      <c r="M277" s="160"/>
      <c r="N277" s="160"/>
      <c r="O277" s="160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  <c r="AD277" s="91"/>
      <c r="AE277" s="91"/>
      <c r="AF277" s="91"/>
      <c r="AG277" s="91"/>
      <c r="AH277" s="91"/>
      <c r="AI277" s="91"/>
      <c r="AJ277" s="91"/>
      <c r="AK277" s="91"/>
      <c r="AL277" s="91"/>
      <c r="AM277" s="91"/>
      <c r="AN277" s="91"/>
    </row>
    <row r="278">
      <c r="A278" s="164"/>
      <c r="B278" s="165"/>
      <c r="C278" s="165"/>
      <c r="D278" s="164"/>
      <c r="E278" s="164"/>
      <c r="F278" s="164"/>
      <c r="G278" s="91"/>
      <c r="H278" s="91"/>
      <c r="I278" s="91"/>
      <c r="J278" s="91"/>
      <c r="K278" s="160"/>
      <c r="L278" s="160"/>
      <c r="M278" s="160"/>
      <c r="N278" s="160"/>
      <c r="O278" s="160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  <c r="AD278" s="91"/>
      <c r="AE278" s="91"/>
      <c r="AF278" s="91"/>
      <c r="AG278" s="91"/>
      <c r="AH278" s="91"/>
      <c r="AI278" s="91"/>
      <c r="AJ278" s="91"/>
      <c r="AK278" s="91"/>
      <c r="AL278" s="91"/>
      <c r="AM278" s="91"/>
      <c r="AN278" s="91"/>
    </row>
    <row r="279">
      <c r="A279" s="164"/>
      <c r="B279" s="165"/>
      <c r="C279" s="165"/>
      <c r="D279" s="164"/>
      <c r="E279" s="164"/>
      <c r="F279" s="164"/>
      <c r="G279" s="91"/>
      <c r="H279" s="91"/>
      <c r="I279" s="91"/>
      <c r="J279" s="91"/>
      <c r="K279" s="160"/>
      <c r="L279" s="160"/>
      <c r="M279" s="160"/>
      <c r="N279" s="160"/>
      <c r="O279" s="160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1"/>
      <c r="AE279" s="91"/>
      <c r="AF279" s="91"/>
      <c r="AG279" s="91"/>
      <c r="AH279" s="91"/>
      <c r="AI279" s="91"/>
      <c r="AJ279" s="91"/>
      <c r="AK279" s="91"/>
      <c r="AL279" s="91"/>
      <c r="AM279" s="91"/>
      <c r="AN279" s="91"/>
    </row>
    <row r="280">
      <c r="A280" s="164"/>
      <c r="B280" s="165"/>
      <c r="C280" s="165"/>
      <c r="D280" s="164"/>
      <c r="E280" s="164"/>
      <c r="F280" s="164"/>
      <c r="G280" s="91"/>
      <c r="H280" s="91"/>
      <c r="I280" s="91"/>
      <c r="J280" s="91"/>
      <c r="K280" s="160"/>
      <c r="L280" s="160"/>
      <c r="M280" s="160"/>
      <c r="N280" s="160"/>
      <c r="O280" s="160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1"/>
      <c r="AE280" s="91"/>
      <c r="AF280" s="91"/>
      <c r="AG280" s="91"/>
      <c r="AH280" s="91"/>
      <c r="AI280" s="91"/>
      <c r="AJ280" s="91"/>
      <c r="AK280" s="91"/>
      <c r="AL280" s="91"/>
      <c r="AM280" s="91"/>
      <c r="AN280" s="91"/>
    </row>
    <row r="281">
      <c r="A281" s="164"/>
      <c r="B281" s="165"/>
      <c r="C281" s="165"/>
      <c r="D281" s="164"/>
      <c r="E281" s="164"/>
      <c r="F281" s="164"/>
      <c r="G281" s="91"/>
      <c r="H281" s="91"/>
      <c r="I281" s="91"/>
      <c r="J281" s="91"/>
      <c r="K281" s="160"/>
      <c r="L281" s="160"/>
      <c r="M281" s="160"/>
      <c r="N281" s="160"/>
      <c r="O281" s="160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1"/>
      <c r="AE281" s="91"/>
      <c r="AF281" s="91"/>
      <c r="AG281" s="91"/>
      <c r="AH281" s="91"/>
      <c r="AI281" s="91"/>
      <c r="AJ281" s="91"/>
      <c r="AK281" s="91"/>
      <c r="AL281" s="91"/>
      <c r="AM281" s="91"/>
      <c r="AN281" s="91"/>
    </row>
    <row r="282">
      <c r="A282" s="164"/>
      <c r="B282" s="165"/>
      <c r="C282" s="165"/>
      <c r="D282" s="164"/>
      <c r="E282" s="164"/>
      <c r="F282" s="164"/>
      <c r="G282" s="91"/>
      <c r="H282" s="91"/>
      <c r="I282" s="91"/>
      <c r="J282" s="91"/>
      <c r="K282" s="160"/>
      <c r="L282" s="160"/>
      <c r="M282" s="160"/>
      <c r="N282" s="160"/>
      <c r="O282" s="160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1"/>
      <c r="AE282" s="91"/>
      <c r="AF282" s="91"/>
      <c r="AG282" s="91"/>
      <c r="AH282" s="91"/>
      <c r="AI282" s="91"/>
      <c r="AJ282" s="91"/>
      <c r="AK282" s="91"/>
      <c r="AL282" s="91"/>
      <c r="AM282" s="91"/>
      <c r="AN282" s="91"/>
    </row>
    <row r="283">
      <c r="A283" s="164"/>
      <c r="B283" s="165"/>
      <c r="C283" s="165"/>
      <c r="D283" s="164"/>
      <c r="E283" s="164"/>
      <c r="F283" s="164"/>
      <c r="G283" s="91"/>
      <c r="H283" s="91"/>
      <c r="I283" s="91"/>
      <c r="J283" s="91"/>
      <c r="K283" s="160"/>
      <c r="L283" s="160"/>
      <c r="M283" s="160"/>
      <c r="N283" s="160"/>
      <c r="O283" s="160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  <c r="AD283" s="91"/>
      <c r="AE283" s="91"/>
      <c r="AF283" s="91"/>
      <c r="AG283" s="91"/>
      <c r="AH283" s="91"/>
      <c r="AI283" s="91"/>
      <c r="AJ283" s="91"/>
      <c r="AK283" s="91"/>
      <c r="AL283" s="91"/>
      <c r="AM283" s="91"/>
      <c r="AN283" s="91"/>
    </row>
    <row r="284">
      <c r="A284" s="164"/>
      <c r="B284" s="165"/>
      <c r="C284" s="165"/>
      <c r="D284" s="164"/>
      <c r="E284" s="164"/>
      <c r="F284" s="164"/>
      <c r="G284" s="91"/>
      <c r="H284" s="91"/>
      <c r="I284" s="91"/>
      <c r="J284" s="91"/>
      <c r="K284" s="160"/>
      <c r="L284" s="160"/>
      <c r="M284" s="160"/>
      <c r="N284" s="160"/>
      <c r="O284" s="160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91"/>
      <c r="AE284" s="91"/>
      <c r="AF284" s="91"/>
      <c r="AG284" s="91"/>
      <c r="AH284" s="91"/>
      <c r="AI284" s="91"/>
      <c r="AJ284" s="91"/>
      <c r="AK284" s="91"/>
      <c r="AL284" s="91"/>
      <c r="AM284" s="91"/>
      <c r="AN284" s="91"/>
    </row>
    <row r="285">
      <c r="A285" s="164"/>
      <c r="B285" s="165"/>
      <c r="C285" s="165"/>
      <c r="D285" s="164"/>
      <c r="E285" s="164"/>
      <c r="F285" s="164"/>
      <c r="G285" s="91"/>
      <c r="H285" s="91"/>
      <c r="I285" s="91"/>
      <c r="J285" s="91"/>
      <c r="K285" s="160"/>
      <c r="L285" s="160"/>
      <c r="M285" s="160"/>
      <c r="N285" s="160"/>
      <c r="O285" s="160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  <c r="AD285" s="91"/>
      <c r="AE285" s="91"/>
      <c r="AF285" s="91"/>
      <c r="AG285" s="91"/>
      <c r="AH285" s="91"/>
      <c r="AI285" s="91"/>
      <c r="AJ285" s="91"/>
      <c r="AK285" s="91"/>
      <c r="AL285" s="91"/>
      <c r="AM285" s="91"/>
      <c r="AN285" s="91"/>
    </row>
    <row r="286">
      <c r="A286" s="164"/>
      <c r="B286" s="165"/>
      <c r="C286" s="165"/>
      <c r="D286" s="164"/>
      <c r="E286" s="164"/>
      <c r="F286" s="164"/>
      <c r="G286" s="91"/>
      <c r="H286" s="91"/>
      <c r="I286" s="91"/>
      <c r="J286" s="91"/>
      <c r="K286" s="160"/>
      <c r="L286" s="160"/>
      <c r="M286" s="160"/>
      <c r="N286" s="160"/>
      <c r="O286" s="160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  <c r="AD286" s="91"/>
      <c r="AE286" s="91"/>
      <c r="AF286" s="91"/>
      <c r="AG286" s="91"/>
      <c r="AH286" s="91"/>
      <c r="AI286" s="91"/>
      <c r="AJ286" s="91"/>
      <c r="AK286" s="91"/>
      <c r="AL286" s="91"/>
      <c r="AM286" s="91"/>
      <c r="AN286" s="91"/>
    </row>
    <row r="287">
      <c r="A287" s="164"/>
      <c r="B287" s="165"/>
      <c r="C287" s="165"/>
      <c r="D287" s="164"/>
      <c r="E287" s="164"/>
      <c r="F287" s="164"/>
      <c r="G287" s="91"/>
      <c r="H287" s="91"/>
      <c r="I287" s="91"/>
      <c r="J287" s="91"/>
      <c r="K287" s="160"/>
      <c r="L287" s="160"/>
      <c r="M287" s="160"/>
      <c r="N287" s="160"/>
      <c r="O287" s="160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  <c r="AD287" s="91"/>
      <c r="AE287" s="91"/>
      <c r="AF287" s="91"/>
      <c r="AG287" s="91"/>
      <c r="AH287" s="91"/>
      <c r="AI287" s="91"/>
      <c r="AJ287" s="91"/>
      <c r="AK287" s="91"/>
      <c r="AL287" s="91"/>
      <c r="AM287" s="91"/>
      <c r="AN287" s="91"/>
    </row>
    <row r="288">
      <c r="A288" s="164"/>
      <c r="B288" s="165"/>
      <c r="C288" s="165"/>
      <c r="D288" s="164"/>
      <c r="E288" s="164"/>
      <c r="F288" s="164"/>
      <c r="G288" s="91"/>
      <c r="H288" s="91"/>
      <c r="I288" s="91"/>
      <c r="J288" s="91"/>
      <c r="K288" s="160"/>
      <c r="L288" s="160"/>
      <c r="M288" s="160"/>
      <c r="N288" s="160"/>
      <c r="O288" s="160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  <c r="AD288" s="91"/>
      <c r="AE288" s="91"/>
      <c r="AF288" s="91"/>
      <c r="AG288" s="91"/>
      <c r="AH288" s="91"/>
      <c r="AI288" s="91"/>
      <c r="AJ288" s="91"/>
      <c r="AK288" s="91"/>
      <c r="AL288" s="91"/>
      <c r="AM288" s="91"/>
      <c r="AN288" s="91"/>
    </row>
    <row r="289">
      <c r="A289" s="164"/>
      <c r="B289" s="165"/>
      <c r="C289" s="165"/>
      <c r="D289" s="164"/>
      <c r="E289" s="164"/>
      <c r="F289" s="164"/>
      <c r="G289" s="91"/>
      <c r="H289" s="91"/>
      <c r="I289" s="91"/>
      <c r="J289" s="91"/>
      <c r="K289" s="160"/>
      <c r="L289" s="160"/>
      <c r="M289" s="160"/>
      <c r="N289" s="160"/>
      <c r="O289" s="160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91"/>
      <c r="AE289" s="91"/>
      <c r="AF289" s="91"/>
      <c r="AG289" s="91"/>
      <c r="AH289" s="91"/>
      <c r="AI289" s="91"/>
      <c r="AJ289" s="91"/>
      <c r="AK289" s="91"/>
      <c r="AL289" s="91"/>
      <c r="AM289" s="91"/>
      <c r="AN289" s="91"/>
    </row>
    <row r="290">
      <c r="A290" s="164"/>
      <c r="B290" s="165"/>
      <c r="C290" s="165"/>
      <c r="D290" s="164"/>
      <c r="E290" s="164"/>
      <c r="F290" s="164"/>
      <c r="G290" s="91"/>
      <c r="H290" s="91"/>
      <c r="I290" s="91"/>
      <c r="J290" s="91"/>
      <c r="K290" s="160"/>
      <c r="L290" s="160"/>
      <c r="M290" s="160"/>
      <c r="N290" s="160"/>
      <c r="O290" s="160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  <c r="AD290" s="91"/>
      <c r="AE290" s="91"/>
      <c r="AF290" s="91"/>
      <c r="AG290" s="91"/>
      <c r="AH290" s="91"/>
      <c r="AI290" s="91"/>
      <c r="AJ290" s="91"/>
      <c r="AK290" s="91"/>
      <c r="AL290" s="91"/>
      <c r="AM290" s="91"/>
      <c r="AN290" s="91"/>
    </row>
    <row r="291">
      <c r="A291" s="164"/>
      <c r="B291" s="165"/>
      <c r="C291" s="165"/>
      <c r="D291" s="164"/>
      <c r="E291" s="164"/>
      <c r="F291" s="164"/>
      <c r="G291" s="91"/>
      <c r="H291" s="91"/>
      <c r="I291" s="91"/>
      <c r="J291" s="91"/>
      <c r="K291" s="160"/>
      <c r="L291" s="160"/>
      <c r="M291" s="160"/>
      <c r="N291" s="160"/>
      <c r="O291" s="160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  <c r="AD291" s="91"/>
      <c r="AE291" s="91"/>
      <c r="AF291" s="91"/>
      <c r="AG291" s="91"/>
      <c r="AH291" s="91"/>
      <c r="AI291" s="91"/>
      <c r="AJ291" s="91"/>
      <c r="AK291" s="91"/>
      <c r="AL291" s="91"/>
      <c r="AM291" s="91"/>
      <c r="AN291" s="91"/>
    </row>
    <row r="292">
      <c r="A292" s="164"/>
      <c r="B292" s="165"/>
      <c r="C292" s="165"/>
      <c r="D292" s="164"/>
      <c r="E292" s="164"/>
      <c r="F292" s="164"/>
      <c r="G292" s="91"/>
      <c r="H292" s="91"/>
      <c r="I292" s="91"/>
      <c r="J292" s="91"/>
      <c r="K292" s="160"/>
      <c r="L292" s="160"/>
      <c r="M292" s="160"/>
      <c r="N292" s="160"/>
      <c r="O292" s="160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91"/>
      <c r="AD292" s="91"/>
      <c r="AE292" s="91"/>
      <c r="AF292" s="91"/>
      <c r="AG292" s="91"/>
      <c r="AH292" s="91"/>
      <c r="AI292" s="91"/>
      <c r="AJ292" s="91"/>
      <c r="AK292" s="91"/>
      <c r="AL292" s="91"/>
      <c r="AM292" s="91"/>
      <c r="AN292" s="91"/>
    </row>
    <row r="293">
      <c r="A293" s="164"/>
      <c r="B293" s="165"/>
      <c r="C293" s="165"/>
      <c r="D293" s="164"/>
      <c r="E293" s="164"/>
      <c r="F293" s="164"/>
      <c r="G293" s="91"/>
      <c r="H293" s="91"/>
      <c r="I293" s="91"/>
      <c r="J293" s="91"/>
      <c r="K293" s="160"/>
      <c r="L293" s="160"/>
      <c r="M293" s="160"/>
      <c r="N293" s="160"/>
      <c r="O293" s="160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91"/>
      <c r="AD293" s="91"/>
      <c r="AE293" s="91"/>
      <c r="AF293" s="91"/>
      <c r="AG293" s="91"/>
      <c r="AH293" s="91"/>
      <c r="AI293" s="91"/>
      <c r="AJ293" s="91"/>
      <c r="AK293" s="91"/>
      <c r="AL293" s="91"/>
      <c r="AM293" s="91"/>
      <c r="AN293" s="91"/>
    </row>
    <row r="294">
      <c r="A294" s="164"/>
      <c r="B294" s="165"/>
      <c r="C294" s="165"/>
      <c r="D294" s="164"/>
      <c r="E294" s="164"/>
      <c r="F294" s="164"/>
      <c r="G294" s="91"/>
      <c r="H294" s="91"/>
      <c r="I294" s="91"/>
      <c r="J294" s="91"/>
      <c r="K294" s="160"/>
      <c r="L294" s="160"/>
      <c r="M294" s="160"/>
      <c r="N294" s="160"/>
      <c r="O294" s="160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1"/>
      <c r="AE294" s="91"/>
      <c r="AF294" s="91"/>
      <c r="AG294" s="91"/>
      <c r="AH294" s="91"/>
      <c r="AI294" s="91"/>
      <c r="AJ294" s="91"/>
      <c r="AK294" s="91"/>
      <c r="AL294" s="91"/>
      <c r="AM294" s="91"/>
      <c r="AN294" s="91"/>
    </row>
    <row r="295">
      <c r="A295" s="164"/>
      <c r="B295" s="165"/>
      <c r="C295" s="165"/>
      <c r="D295" s="164"/>
      <c r="E295" s="164"/>
      <c r="F295" s="164"/>
      <c r="G295" s="91"/>
      <c r="H295" s="91"/>
      <c r="I295" s="91"/>
      <c r="J295" s="91"/>
      <c r="K295" s="160"/>
      <c r="L295" s="160"/>
      <c r="M295" s="160"/>
      <c r="N295" s="160"/>
      <c r="O295" s="160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/>
      <c r="AD295" s="91"/>
      <c r="AE295" s="91"/>
      <c r="AF295" s="91"/>
      <c r="AG295" s="91"/>
      <c r="AH295" s="91"/>
      <c r="AI295" s="91"/>
      <c r="AJ295" s="91"/>
      <c r="AK295" s="91"/>
      <c r="AL295" s="91"/>
      <c r="AM295" s="91"/>
      <c r="AN295" s="91"/>
    </row>
    <row r="296">
      <c r="A296" s="164"/>
      <c r="B296" s="165"/>
      <c r="C296" s="165"/>
      <c r="D296" s="164"/>
      <c r="E296" s="164"/>
      <c r="F296" s="164"/>
      <c r="G296" s="91"/>
      <c r="H296" s="91"/>
      <c r="I296" s="91"/>
      <c r="J296" s="91"/>
      <c r="K296" s="160"/>
      <c r="L296" s="160"/>
      <c r="M296" s="160"/>
      <c r="N296" s="160"/>
      <c r="O296" s="160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  <c r="AD296" s="91"/>
      <c r="AE296" s="91"/>
      <c r="AF296" s="91"/>
      <c r="AG296" s="91"/>
      <c r="AH296" s="91"/>
      <c r="AI296" s="91"/>
      <c r="AJ296" s="91"/>
      <c r="AK296" s="91"/>
      <c r="AL296" s="91"/>
      <c r="AM296" s="91"/>
      <c r="AN296" s="91"/>
    </row>
    <row r="297">
      <c r="A297" s="164"/>
      <c r="B297" s="165"/>
      <c r="C297" s="165"/>
      <c r="D297" s="164"/>
      <c r="E297" s="164"/>
      <c r="F297" s="164"/>
      <c r="G297" s="91"/>
      <c r="H297" s="91"/>
      <c r="I297" s="91"/>
      <c r="J297" s="91"/>
      <c r="K297" s="160"/>
      <c r="L297" s="160"/>
      <c r="M297" s="160"/>
      <c r="N297" s="160"/>
      <c r="O297" s="160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  <c r="AD297" s="91"/>
      <c r="AE297" s="91"/>
      <c r="AF297" s="91"/>
      <c r="AG297" s="91"/>
      <c r="AH297" s="91"/>
      <c r="AI297" s="91"/>
      <c r="AJ297" s="91"/>
      <c r="AK297" s="91"/>
      <c r="AL297" s="91"/>
      <c r="AM297" s="91"/>
      <c r="AN297" s="91"/>
    </row>
    <row r="298">
      <c r="A298" s="164"/>
      <c r="B298" s="165"/>
      <c r="C298" s="165"/>
      <c r="D298" s="164"/>
      <c r="E298" s="164"/>
      <c r="F298" s="164"/>
      <c r="G298" s="91"/>
      <c r="H298" s="91"/>
      <c r="I298" s="91"/>
      <c r="J298" s="91"/>
      <c r="K298" s="160"/>
      <c r="L298" s="160"/>
      <c r="M298" s="160"/>
      <c r="N298" s="160"/>
      <c r="O298" s="160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  <c r="AD298" s="91"/>
      <c r="AE298" s="91"/>
      <c r="AF298" s="91"/>
      <c r="AG298" s="91"/>
      <c r="AH298" s="91"/>
      <c r="AI298" s="91"/>
      <c r="AJ298" s="91"/>
      <c r="AK298" s="91"/>
      <c r="AL298" s="91"/>
      <c r="AM298" s="91"/>
      <c r="AN298" s="91"/>
    </row>
    <row r="299">
      <c r="A299" s="164"/>
      <c r="B299" s="165"/>
      <c r="C299" s="165"/>
      <c r="D299" s="164"/>
      <c r="E299" s="164"/>
      <c r="F299" s="164"/>
      <c r="G299" s="91"/>
      <c r="H299" s="91"/>
      <c r="I299" s="91"/>
      <c r="J299" s="91"/>
      <c r="K299" s="160"/>
      <c r="L299" s="160"/>
      <c r="M299" s="160"/>
      <c r="N299" s="160"/>
      <c r="O299" s="160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  <c r="AD299" s="91"/>
      <c r="AE299" s="91"/>
      <c r="AF299" s="91"/>
      <c r="AG299" s="91"/>
      <c r="AH299" s="91"/>
      <c r="AI299" s="91"/>
      <c r="AJ299" s="91"/>
      <c r="AK299" s="91"/>
      <c r="AL299" s="91"/>
      <c r="AM299" s="91"/>
      <c r="AN299" s="91"/>
    </row>
    <row r="300">
      <c r="A300" s="164"/>
      <c r="B300" s="165"/>
      <c r="C300" s="165"/>
      <c r="D300" s="164"/>
      <c r="E300" s="164"/>
      <c r="F300" s="164"/>
      <c r="G300" s="91"/>
      <c r="H300" s="91"/>
      <c r="I300" s="91"/>
      <c r="J300" s="91"/>
      <c r="K300" s="160"/>
      <c r="L300" s="160"/>
      <c r="M300" s="160"/>
      <c r="N300" s="160"/>
      <c r="O300" s="160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1"/>
      <c r="AE300" s="91"/>
      <c r="AF300" s="91"/>
      <c r="AG300" s="91"/>
      <c r="AH300" s="91"/>
      <c r="AI300" s="91"/>
      <c r="AJ300" s="91"/>
      <c r="AK300" s="91"/>
      <c r="AL300" s="91"/>
      <c r="AM300" s="91"/>
      <c r="AN300" s="91"/>
    </row>
    <row r="301">
      <c r="A301" s="164"/>
      <c r="B301" s="165"/>
      <c r="C301" s="165"/>
      <c r="D301" s="164"/>
      <c r="E301" s="164"/>
      <c r="F301" s="164"/>
      <c r="G301" s="91"/>
      <c r="H301" s="91"/>
      <c r="I301" s="91"/>
      <c r="J301" s="91"/>
      <c r="K301" s="160"/>
      <c r="L301" s="160"/>
      <c r="M301" s="160"/>
      <c r="N301" s="160"/>
      <c r="O301" s="160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  <c r="AF301" s="91"/>
      <c r="AG301" s="91"/>
      <c r="AH301" s="91"/>
      <c r="AI301" s="91"/>
      <c r="AJ301" s="91"/>
      <c r="AK301" s="91"/>
      <c r="AL301" s="91"/>
      <c r="AM301" s="91"/>
      <c r="AN301" s="91"/>
    </row>
    <row r="302">
      <c r="A302" s="164"/>
      <c r="B302" s="165"/>
      <c r="C302" s="165"/>
      <c r="D302" s="164"/>
      <c r="E302" s="164"/>
      <c r="F302" s="164"/>
      <c r="G302" s="91"/>
      <c r="H302" s="91"/>
      <c r="I302" s="91"/>
      <c r="J302" s="91"/>
      <c r="K302" s="160"/>
      <c r="L302" s="160"/>
      <c r="M302" s="160"/>
      <c r="N302" s="160"/>
      <c r="O302" s="160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  <c r="AF302" s="91"/>
      <c r="AG302" s="91"/>
      <c r="AH302" s="91"/>
      <c r="AI302" s="91"/>
      <c r="AJ302" s="91"/>
      <c r="AK302" s="91"/>
      <c r="AL302" s="91"/>
      <c r="AM302" s="91"/>
      <c r="AN302" s="91"/>
    </row>
    <row r="303">
      <c r="A303" s="164"/>
      <c r="B303" s="165"/>
      <c r="C303" s="165"/>
      <c r="D303" s="164"/>
      <c r="E303" s="164"/>
      <c r="F303" s="164"/>
      <c r="G303" s="91"/>
      <c r="H303" s="91"/>
      <c r="I303" s="91"/>
      <c r="J303" s="91"/>
      <c r="K303" s="160"/>
      <c r="L303" s="160"/>
      <c r="M303" s="160"/>
      <c r="N303" s="160"/>
      <c r="O303" s="160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1"/>
      <c r="AE303" s="91"/>
      <c r="AF303" s="91"/>
      <c r="AG303" s="91"/>
      <c r="AH303" s="91"/>
      <c r="AI303" s="91"/>
      <c r="AJ303" s="91"/>
      <c r="AK303" s="91"/>
      <c r="AL303" s="91"/>
      <c r="AM303" s="91"/>
      <c r="AN303" s="91"/>
    </row>
    <row r="304">
      <c r="A304" s="164"/>
      <c r="B304" s="165"/>
      <c r="C304" s="165"/>
      <c r="D304" s="164"/>
      <c r="E304" s="164"/>
      <c r="F304" s="164"/>
      <c r="G304" s="91"/>
      <c r="H304" s="91"/>
      <c r="I304" s="91"/>
      <c r="J304" s="91"/>
      <c r="K304" s="160"/>
      <c r="L304" s="160"/>
      <c r="M304" s="160"/>
      <c r="N304" s="160"/>
      <c r="O304" s="160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1"/>
      <c r="AE304" s="91"/>
      <c r="AF304" s="91"/>
      <c r="AG304" s="91"/>
      <c r="AH304" s="91"/>
      <c r="AI304" s="91"/>
      <c r="AJ304" s="91"/>
      <c r="AK304" s="91"/>
      <c r="AL304" s="91"/>
      <c r="AM304" s="91"/>
      <c r="AN304" s="91"/>
    </row>
    <row r="305">
      <c r="A305" s="164"/>
      <c r="B305" s="165"/>
      <c r="C305" s="165"/>
      <c r="D305" s="164"/>
      <c r="E305" s="164"/>
      <c r="F305" s="164"/>
      <c r="G305" s="91"/>
      <c r="H305" s="91"/>
      <c r="I305" s="91"/>
      <c r="J305" s="91"/>
      <c r="K305" s="160"/>
      <c r="L305" s="160"/>
      <c r="M305" s="160"/>
      <c r="N305" s="160"/>
      <c r="O305" s="160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  <c r="AD305" s="91"/>
      <c r="AE305" s="91"/>
      <c r="AF305" s="91"/>
      <c r="AG305" s="91"/>
      <c r="AH305" s="91"/>
      <c r="AI305" s="91"/>
      <c r="AJ305" s="91"/>
      <c r="AK305" s="91"/>
      <c r="AL305" s="91"/>
      <c r="AM305" s="91"/>
      <c r="AN305" s="91"/>
    </row>
    <row r="306">
      <c r="A306" s="164"/>
      <c r="B306" s="165"/>
      <c r="C306" s="165"/>
      <c r="D306" s="164"/>
      <c r="E306" s="164"/>
      <c r="F306" s="164"/>
      <c r="G306" s="91"/>
      <c r="H306" s="91"/>
      <c r="I306" s="91"/>
      <c r="J306" s="91"/>
      <c r="K306" s="160"/>
      <c r="L306" s="160"/>
      <c r="M306" s="160"/>
      <c r="N306" s="160"/>
      <c r="O306" s="160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  <c r="AD306" s="91"/>
      <c r="AE306" s="91"/>
      <c r="AF306" s="91"/>
      <c r="AG306" s="91"/>
      <c r="AH306" s="91"/>
      <c r="AI306" s="91"/>
      <c r="AJ306" s="91"/>
      <c r="AK306" s="91"/>
      <c r="AL306" s="91"/>
      <c r="AM306" s="91"/>
      <c r="AN306" s="91"/>
    </row>
    <row r="307">
      <c r="A307" s="164"/>
      <c r="B307" s="165"/>
      <c r="C307" s="165"/>
      <c r="D307" s="164"/>
      <c r="E307" s="164"/>
      <c r="F307" s="164"/>
      <c r="G307" s="91"/>
      <c r="H307" s="91"/>
      <c r="I307" s="91"/>
      <c r="J307" s="91"/>
      <c r="K307" s="160"/>
      <c r="L307" s="160"/>
      <c r="M307" s="160"/>
      <c r="N307" s="160"/>
      <c r="O307" s="160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1"/>
      <c r="AE307" s="91"/>
      <c r="AF307" s="91"/>
      <c r="AG307" s="91"/>
      <c r="AH307" s="91"/>
      <c r="AI307" s="91"/>
      <c r="AJ307" s="91"/>
      <c r="AK307" s="91"/>
      <c r="AL307" s="91"/>
      <c r="AM307" s="91"/>
      <c r="AN307" s="91"/>
    </row>
    <row r="308">
      <c r="A308" s="164"/>
      <c r="B308" s="165"/>
      <c r="C308" s="165"/>
      <c r="D308" s="164"/>
      <c r="E308" s="164"/>
      <c r="F308" s="164"/>
      <c r="G308" s="91"/>
      <c r="H308" s="91"/>
      <c r="I308" s="91"/>
      <c r="J308" s="91"/>
      <c r="K308" s="160"/>
      <c r="L308" s="160"/>
      <c r="M308" s="160"/>
      <c r="N308" s="160"/>
      <c r="O308" s="160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1"/>
      <c r="AE308" s="91"/>
      <c r="AF308" s="91"/>
      <c r="AG308" s="91"/>
      <c r="AH308" s="91"/>
      <c r="AI308" s="91"/>
      <c r="AJ308" s="91"/>
      <c r="AK308" s="91"/>
      <c r="AL308" s="91"/>
      <c r="AM308" s="91"/>
      <c r="AN308" s="91"/>
    </row>
    <row r="309">
      <c r="A309" s="164"/>
      <c r="B309" s="165"/>
      <c r="C309" s="165"/>
      <c r="D309" s="164"/>
      <c r="E309" s="164"/>
      <c r="F309" s="164"/>
      <c r="G309" s="91"/>
      <c r="H309" s="91"/>
      <c r="I309" s="91"/>
      <c r="J309" s="91"/>
      <c r="K309" s="160"/>
      <c r="L309" s="160"/>
      <c r="M309" s="160"/>
      <c r="N309" s="160"/>
      <c r="O309" s="160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  <c r="AD309" s="91"/>
      <c r="AE309" s="91"/>
      <c r="AF309" s="91"/>
      <c r="AG309" s="91"/>
      <c r="AH309" s="91"/>
      <c r="AI309" s="91"/>
      <c r="AJ309" s="91"/>
      <c r="AK309" s="91"/>
      <c r="AL309" s="91"/>
      <c r="AM309" s="91"/>
      <c r="AN309" s="91"/>
    </row>
    <row r="310">
      <c r="A310" s="164"/>
      <c r="B310" s="165"/>
      <c r="C310" s="165"/>
      <c r="D310" s="164"/>
      <c r="E310" s="164"/>
      <c r="F310" s="164"/>
      <c r="G310" s="91"/>
      <c r="H310" s="91"/>
      <c r="I310" s="91"/>
      <c r="J310" s="91"/>
      <c r="K310" s="160"/>
      <c r="L310" s="160"/>
      <c r="M310" s="160"/>
      <c r="N310" s="160"/>
      <c r="O310" s="160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  <c r="AD310" s="91"/>
      <c r="AE310" s="91"/>
      <c r="AF310" s="91"/>
      <c r="AG310" s="91"/>
      <c r="AH310" s="91"/>
      <c r="AI310" s="91"/>
      <c r="AJ310" s="91"/>
      <c r="AK310" s="91"/>
      <c r="AL310" s="91"/>
      <c r="AM310" s="91"/>
      <c r="AN310" s="91"/>
    </row>
    <row r="311">
      <c r="A311" s="164"/>
      <c r="B311" s="165"/>
      <c r="C311" s="165"/>
      <c r="D311" s="164"/>
      <c r="E311" s="164"/>
      <c r="F311" s="164"/>
      <c r="G311" s="91"/>
      <c r="H311" s="91"/>
      <c r="I311" s="91"/>
      <c r="J311" s="91"/>
      <c r="K311" s="160"/>
      <c r="L311" s="160"/>
      <c r="M311" s="160"/>
      <c r="N311" s="160"/>
      <c r="O311" s="160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1"/>
      <c r="AE311" s="91"/>
      <c r="AF311" s="91"/>
      <c r="AG311" s="91"/>
      <c r="AH311" s="91"/>
      <c r="AI311" s="91"/>
      <c r="AJ311" s="91"/>
      <c r="AK311" s="91"/>
      <c r="AL311" s="91"/>
      <c r="AM311" s="91"/>
      <c r="AN311" s="91"/>
    </row>
    <row r="312">
      <c r="A312" s="164"/>
      <c r="B312" s="165"/>
      <c r="C312" s="165"/>
      <c r="D312" s="164"/>
      <c r="E312" s="164"/>
      <c r="F312" s="164"/>
      <c r="G312" s="91"/>
      <c r="H312" s="91"/>
      <c r="I312" s="91"/>
      <c r="J312" s="91"/>
      <c r="K312" s="160"/>
      <c r="L312" s="160"/>
      <c r="M312" s="160"/>
      <c r="N312" s="160"/>
      <c r="O312" s="160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  <c r="AD312" s="91"/>
      <c r="AE312" s="91"/>
      <c r="AF312" s="91"/>
      <c r="AG312" s="91"/>
      <c r="AH312" s="91"/>
      <c r="AI312" s="91"/>
      <c r="AJ312" s="91"/>
      <c r="AK312" s="91"/>
      <c r="AL312" s="91"/>
      <c r="AM312" s="91"/>
      <c r="AN312" s="91"/>
    </row>
    <row r="313">
      <c r="A313" s="164"/>
      <c r="B313" s="165"/>
      <c r="C313" s="165"/>
      <c r="D313" s="164"/>
      <c r="E313" s="164"/>
      <c r="F313" s="164"/>
      <c r="G313" s="91"/>
      <c r="H313" s="91"/>
      <c r="I313" s="91"/>
      <c r="J313" s="91"/>
      <c r="K313" s="160"/>
      <c r="L313" s="160"/>
      <c r="M313" s="160"/>
      <c r="N313" s="160"/>
      <c r="O313" s="160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  <c r="AD313" s="91"/>
      <c r="AE313" s="91"/>
      <c r="AF313" s="91"/>
      <c r="AG313" s="91"/>
      <c r="AH313" s="91"/>
      <c r="AI313" s="91"/>
      <c r="AJ313" s="91"/>
      <c r="AK313" s="91"/>
      <c r="AL313" s="91"/>
      <c r="AM313" s="91"/>
      <c r="AN313" s="91"/>
    </row>
    <row r="314">
      <c r="A314" s="164"/>
      <c r="B314" s="165"/>
      <c r="C314" s="165"/>
      <c r="D314" s="164"/>
      <c r="E314" s="164"/>
      <c r="F314" s="164"/>
      <c r="G314" s="91"/>
      <c r="H314" s="91"/>
      <c r="I314" s="91"/>
      <c r="J314" s="91"/>
      <c r="K314" s="160"/>
      <c r="L314" s="160"/>
      <c r="M314" s="160"/>
      <c r="N314" s="160"/>
      <c r="O314" s="160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91"/>
      <c r="AE314" s="91"/>
      <c r="AF314" s="91"/>
      <c r="AG314" s="91"/>
      <c r="AH314" s="91"/>
      <c r="AI314" s="91"/>
      <c r="AJ314" s="91"/>
      <c r="AK314" s="91"/>
      <c r="AL314" s="91"/>
      <c r="AM314" s="91"/>
      <c r="AN314" s="91"/>
    </row>
    <row r="315">
      <c r="A315" s="164"/>
      <c r="B315" s="165"/>
      <c r="C315" s="165"/>
      <c r="D315" s="164"/>
      <c r="E315" s="164"/>
      <c r="F315" s="164"/>
      <c r="G315" s="91"/>
      <c r="H315" s="91"/>
      <c r="I315" s="91"/>
      <c r="J315" s="91"/>
      <c r="K315" s="160"/>
      <c r="L315" s="160"/>
      <c r="M315" s="160"/>
      <c r="N315" s="160"/>
      <c r="O315" s="160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  <c r="AD315" s="91"/>
      <c r="AE315" s="91"/>
      <c r="AF315" s="91"/>
      <c r="AG315" s="91"/>
      <c r="AH315" s="91"/>
      <c r="AI315" s="91"/>
      <c r="AJ315" s="91"/>
      <c r="AK315" s="91"/>
      <c r="AL315" s="91"/>
      <c r="AM315" s="91"/>
      <c r="AN315" s="91"/>
    </row>
    <row r="316">
      <c r="A316" s="164"/>
      <c r="B316" s="165"/>
      <c r="C316" s="165"/>
      <c r="D316" s="164"/>
      <c r="E316" s="164"/>
      <c r="F316" s="164"/>
      <c r="G316" s="91"/>
      <c r="H316" s="91"/>
      <c r="I316" s="91"/>
      <c r="J316" s="91"/>
      <c r="K316" s="160"/>
      <c r="L316" s="160"/>
      <c r="M316" s="160"/>
      <c r="N316" s="160"/>
      <c r="O316" s="160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  <c r="AD316" s="91"/>
      <c r="AE316" s="91"/>
      <c r="AF316" s="91"/>
      <c r="AG316" s="91"/>
      <c r="AH316" s="91"/>
      <c r="AI316" s="91"/>
      <c r="AJ316" s="91"/>
      <c r="AK316" s="91"/>
      <c r="AL316" s="91"/>
      <c r="AM316" s="91"/>
      <c r="AN316" s="91"/>
    </row>
    <row r="317">
      <c r="A317" s="164"/>
      <c r="B317" s="165"/>
      <c r="C317" s="165"/>
      <c r="D317" s="164"/>
      <c r="E317" s="164"/>
      <c r="F317" s="164"/>
      <c r="G317" s="91"/>
      <c r="H317" s="91"/>
      <c r="I317" s="91"/>
      <c r="J317" s="91"/>
      <c r="K317" s="160"/>
      <c r="L317" s="160"/>
      <c r="M317" s="160"/>
      <c r="N317" s="160"/>
      <c r="O317" s="160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  <c r="AC317" s="91"/>
      <c r="AD317" s="91"/>
      <c r="AE317" s="91"/>
      <c r="AF317" s="91"/>
      <c r="AG317" s="91"/>
      <c r="AH317" s="91"/>
      <c r="AI317" s="91"/>
      <c r="AJ317" s="91"/>
      <c r="AK317" s="91"/>
      <c r="AL317" s="91"/>
      <c r="AM317" s="91"/>
      <c r="AN317" s="91"/>
    </row>
    <row r="318">
      <c r="A318" s="164"/>
      <c r="B318" s="165"/>
      <c r="C318" s="165"/>
      <c r="D318" s="164"/>
      <c r="E318" s="164"/>
      <c r="F318" s="164"/>
      <c r="G318" s="91"/>
      <c r="H318" s="91"/>
      <c r="I318" s="91"/>
      <c r="J318" s="91"/>
      <c r="K318" s="160"/>
      <c r="L318" s="160"/>
      <c r="M318" s="160"/>
      <c r="N318" s="160"/>
      <c r="O318" s="160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  <c r="AC318" s="91"/>
      <c r="AD318" s="91"/>
      <c r="AE318" s="91"/>
      <c r="AF318" s="91"/>
      <c r="AG318" s="91"/>
      <c r="AH318" s="91"/>
      <c r="AI318" s="91"/>
      <c r="AJ318" s="91"/>
      <c r="AK318" s="91"/>
      <c r="AL318" s="91"/>
      <c r="AM318" s="91"/>
      <c r="AN318" s="91"/>
    </row>
    <row r="319">
      <c r="A319" s="164"/>
      <c r="B319" s="165"/>
      <c r="C319" s="165"/>
      <c r="D319" s="164"/>
      <c r="E319" s="164"/>
      <c r="F319" s="164"/>
      <c r="G319" s="91"/>
      <c r="H319" s="91"/>
      <c r="I319" s="91"/>
      <c r="J319" s="91"/>
      <c r="K319" s="160"/>
      <c r="L319" s="160"/>
      <c r="M319" s="160"/>
      <c r="N319" s="160"/>
      <c r="O319" s="160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  <c r="AC319" s="91"/>
      <c r="AD319" s="91"/>
      <c r="AE319" s="91"/>
      <c r="AF319" s="91"/>
      <c r="AG319" s="91"/>
      <c r="AH319" s="91"/>
      <c r="AI319" s="91"/>
      <c r="AJ319" s="91"/>
      <c r="AK319" s="91"/>
      <c r="AL319" s="91"/>
      <c r="AM319" s="91"/>
      <c r="AN319" s="91"/>
    </row>
    <row r="320">
      <c r="A320" s="164"/>
      <c r="B320" s="165"/>
      <c r="C320" s="165"/>
      <c r="D320" s="164"/>
      <c r="E320" s="164"/>
      <c r="F320" s="164"/>
      <c r="G320" s="91"/>
      <c r="H320" s="91"/>
      <c r="I320" s="91"/>
      <c r="J320" s="91"/>
      <c r="K320" s="160"/>
      <c r="L320" s="160"/>
      <c r="M320" s="160"/>
      <c r="N320" s="160"/>
      <c r="O320" s="160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  <c r="AC320" s="91"/>
      <c r="AD320" s="91"/>
      <c r="AE320" s="91"/>
      <c r="AF320" s="91"/>
      <c r="AG320" s="91"/>
      <c r="AH320" s="91"/>
      <c r="AI320" s="91"/>
      <c r="AJ320" s="91"/>
      <c r="AK320" s="91"/>
      <c r="AL320" s="91"/>
      <c r="AM320" s="91"/>
      <c r="AN320" s="91"/>
    </row>
    <row r="321">
      <c r="A321" s="164"/>
      <c r="B321" s="165"/>
      <c r="C321" s="165"/>
      <c r="D321" s="164"/>
      <c r="E321" s="164"/>
      <c r="F321" s="164"/>
      <c r="G321" s="91"/>
      <c r="H321" s="91"/>
      <c r="I321" s="91"/>
      <c r="J321" s="91"/>
      <c r="K321" s="160"/>
      <c r="L321" s="160"/>
      <c r="M321" s="160"/>
      <c r="N321" s="160"/>
      <c r="O321" s="160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91"/>
      <c r="AD321" s="91"/>
      <c r="AE321" s="91"/>
      <c r="AF321" s="91"/>
      <c r="AG321" s="91"/>
      <c r="AH321" s="91"/>
      <c r="AI321" s="91"/>
      <c r="AJ321" s="91"/>
      <c r="AK321" s="91"/>
      <c r="AL321" s="91"/>
      <c r="AM321" s="91"/>
      <c r="AN321" s="91"/>
    </row>
    <row r="322">
      <c r="A322" s="164"/>
      <c r="B322" s="165"/>
      <c r="C322" s="165"/>
      <c r="D322" s="164"/>
      <c r="E322" s="164"/>
      <c r="F322" s="164"/>
      <c r="G322" s="91"/>
      <c r="H322" s="91"/>
      <c r="I322" s="91"/>
      <c r="J322" s="91"/>
      <c r="K322" s="160"/>
      <c r="L322" s="160"/>
      <c r="M322" s="160"/>
      <c r="N322" s="160"/>
      <c r="O322" s="160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91"/>
      <c r="AD322" s="91"/>
      <c r="AE322" s="91"/>
      <c r="AF322" s="91"/>
      <c r="AG322" s="91"/>
      <c r="AH322" s="91"/>
      <c r="AI322" s="91"/>
      <c r="AJ322" s="91"/>
      <c r="AK322" s="91"/>
      <c r="AL322" s="91"/>
      <c r="AM322" s="91"/>
      <c r="AN322" s="91"/>
    </row>
    <row r="323">
      <c r="A323" s="164"/>
      <c r="B323" s="165"/>
      <c r="C323" s="165"/>
      <c r="D323" s="164"/>
      <c r="E323" s="164"/>
      <c r="F323" s="164"/>
      <c r="G323" s="91"/>
      <c r="H323" s="91"/>
      <c r="I323" s="91"/>
      <c r="J323" s="91"/>
      <c r="K323" s="160"/>
      <c r="L323" s="160"/>
      <c r="M323" s="160"/>
      <c r="N323" s="160"/>
      <c r="O323" s="160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  <c r="AC323" s="91"/>
      <c r="AD323" s="91"/>
      <c r="AE323" s="91"/>
      <c r="AF323" s="91"/>
      <c r="AG323" s="91"/>
      <c r="AH323" s="91"/>
      <c r="AI323" s="91"/>
      <c r="AJ323" s="91"/>
      <c r="AK323" s="91"/>
      <c r="AL323" s="91"/>
      <c r="AM323" s="91"/>
      <c r="AN323" s="91"/>
    </row>
    <row r="324">
      <c r="A324" s="164"/>
      <c r="B324" s="165"/>
      <c r="C324" s="165"/>
      <c r="D324" s="164"/>
      <c r="E324" s="164"/>
      <c r="F324" s="164"/>
      <c r="G324" s="91"/>
      <c r="H324" s="91"/>
      <c r="I324" s="91"/>
      <c r="J324" s="91"/>
      <c r="K324" s="160"/>
      <c r="L324" s="160"/>
      <c r="M324" s="160"/>
      <c r="N324" s="160"/>
      <c r="O324" s="160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  <c r="AC324" s="91"/>
      <c r="AD324" s="91"/>
      <c r="AE324" s="91"/>
      <c r="AF324" s="91"/>
      <c r="AG324" s="91"/>
      <c r="AH324" s="91"/>
      <c r="AI324" s="91"/>
      <c r="AJ324" s="91"/>
      <c r="AK324" s="91"/>
      <c r="AL324" s="91"/>
      <c r="AM324" s="91"/>
      <c r="AN324" s="91"/>
    </row>
    <row r="325">
      <c r="A325" s="164"/>
      <c r="B325" s="165"/>
      <c r="C325" s="165"/>
      <c r="D325" s="164"/>
      <c r="E325" s="164"/>
      <c r="F325" s="164"/>
      <c r="G325" s="91"/>
      <c r="H325" s="91"/>
      <c r="I325" s="91"/>
      <c r="J325" s="91"/>
      <c r="K325" s="160"/>
      <c r="L325" s="160"/>
      <c r="M325" s="160"/>
      <c r="N325" s="160"/>
      <c r="O325" s="160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  <c r="AC325" s="91"/>
      <c r="AD325" s="91"/>
      <c r="AE325" s="91"/>
      <c r="AF325" s="91"/>
      <c r="AG325" s="91"/>
      <c r="AH325" s="91"/>
      <c r="AI325" s="91"/>
      <c r="AJ325" s="91"/>
      <c r="AK325" s="91"/>
      <c r="AL325" s="91"/>
      <c r="AM325" s="91"/>
      <c r="AN325" s="91"/>
    </row>
    <row r="326">
      <c r="A326" s="164"/>
      <c r="B326" s="165"/>
      <c r="C326" s="165"/>
      <c r="D326" s="164"/>
      <c r="E326" s="164"/>
      <c r="F326" s="164"/>
      <c r="G326" s="91"/>
      <c r="H326" s="91"/>
      <c r="I326" s="91"/>
      <c r="J326" s="91"/>
      <c r="K326" s="160"/>
      <c r="L326" s="160"/>
      <c r="M326" s="160"/>
      <c r="N326" s="160"/>
      <c r="O326" s="160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  <c r="AC326" s="91"/>
      <c r="AD326" s="91"/>
      <c r="AE326" s="91"/>
      <c r="AF326" s="91"/>
      <c r="AG326" s="91"/>
      <c r="AH326" s="91"/>
      <c r="AI326" s="91"/>
      <c r="AJ326" s="91"/>
      <c r="AK326" s="91"/>
      <c r="AL326" s="91"/>
      <c r="AM326" s="91"/>
      <c r="AN326" s="91"/>
    </row>
    <row r="327">
      <c r="A327" s="164"/>
      <c r="B327" s="165"/>
      <c r="C327" s="165"/>
      <c r="D327" s="164"/>
      <c r="E327" s="164"/>
      <c r="F327" s="164"/>
      <c r="G327" s="91"/>
      <c r="H327" s="91"/>
      <c r="I327" s="91"/>
      <c r="J327" s="91"/>
      <c r="K327" s="160"/>
      <c r="L327" s="160"/>
      <c r="M327" s="160"/>
      <c r="N327" s="160"/>
      <c r="O327" s="160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  <c r="AC327" s="91"/>
      <c r="AD327" s="91"/>
      <c r="AE327" s="91"/>
      <c r="AF327" s="91"/>
      <c r="AG327" s="91"/>
      <c r="AH327" s="91"/>
      <c r="AI327" s="91"/>
      <c r="AJ327" s="91"/>
      <c r="AK327" s="91"/>
      <c r="AL327" s="91"/>
      <c r="AM327" s="91"/>
      <c r="AN327" s="91"/>
    </row>
    <row r="328">
      <c r="A328" s="164"/>
      <c r="B328" s="165"/>
      <c r="C328" s="165"/>
      <c r="D328" s="164"/>
      <c r="E328" s="164"/>
      <c r="F328" s="164"/>
      <c r="G328" s="91"/>
      <c r="H328" s="91"/>
      <c r="I328" s="91"/>
      <c r="J328" s="91"/>
      <c r="K328" s="160"/>
      <c r="L328" s="160"/>
      <c r="M328" s="160"/>
      <c r="N328" s="160"/>
      <c r="O328" s="160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  <c r="AC328" s="91"/>
      <c r="AD328" s="91"/>
      <c r="AE328" s="91"/>
      <c r="AF328" s="91"/>
      <c r="AG328" s="91"/>
      <c r="AH328" s="91"/>
      <c r="AI328" s="91"/>
      <c r="AJ328" s="91"/>
      <c r="AK328" s="91"/>
      <c r="AL328" s="91"/>
      <c r="AM328" s="91"/>
      <c r="AN328" s="91"/>
    </row>
    <row r="329">
      <c r="A329" s="164"/>
      <c r="B329" s="165"/>
      <c r="C329" s="165"/>
      <c r="D329" s="164"/>
      <c r="E329" s="164"/>
      <c r="F329" s="164"/>
      <c r="G329" s="91"/>
      <c r="H329" s="91"/>
      <c r="I329" s="91"/>
      <c r="J329" s="91"/>
      <c r="K329" s="160"/>
      <c r="L329" s="160"/>
      <c r="M329" s="160"/>
      <c r="N329" s="160"/>
      <c r="O329" s="160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  <c r="AC329" s="91"/>
      <c r="AD329" s="91"/>
      <c r="AE329" s="91"/>
      <c r="AF329" s="91"/>
      <c r="AG329" s="91"/>
      <c r="AH329" s="91"/>
      <c r="AI329" s="91"/>
      <c r="AJ329" s="91"/>
      <c r="AK329" s="91"/>
      <c r="AL329" s="91"/>
      <c r="AM329" s="91"/>
      <c r="AN329" s="91"/>
    </row>
    <row r="330">
      <c r="A330" s="164"/>
      <c r="B330" s="165"/>
      <c r="C330" s="165"/>
      <c r="D330" s="164"/>
      <c r="E330" s="164"/>
      <c r="F330" s="164"/>
      <c r="G330" s="91"/>
      <c r="H330" s="91"/>
      <c r="I330" s="91"/>
      <c r="J330" s="91"/>
      <c r="K330" s="160"/>
      <c r="L330" s="160"/>
      <c r="M330" s="160"/>
      <c r="N330" s="160"/>
      <c r="O330" s="160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  <c r="AC330" s="91"/>
      <c r="AD330" s="91"/>
      <c r="AE330" s="91"/>
      <c r="AF330" s="91"/>
      <c r="AG330" s="91"/>
      <c r="AH330" s="91"/>
      <c r="AI330" s="91"/>
      <c r="AJ330" s="91"/>
      <c r="AK330" s="91"/>
      <c r="AL330" s="91"/>
      <c r="AM330" s="91"/>
      <c r="AN330" s="91"/>
    </row>
    <row r="331">
      <c r="A331" s="164"/>
      <c r="B331" s="165"/>
      <c r="C331" s="165"/>
      <c r="D331" s="164"/>
      <c r="E331" s="164"/>
      <c r="F331" s="164"/>
      <c r="G331" s="91"/>
      <c r="H331" s="91"/>
      <c r="I331" s="91"/>
      <c r="J331" s="91"/>
      <c r="K331" s="160"/>
      <c r="L331" s="160"/>
      <c r="M331" s="160"/>
      <c r="N331" s="160"/>
      <c r="O331" s="160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  <c r="AC331" s="91"/>
      <c r="AD331" s="91"/>
      <c r="AE331" s="91"/>
      <c r="AF331" s="91"/>
      <c r="AG331" s="91"/>
      <c r="AH331" s="91"/>
      <c r="AI331" s="91"/>
      <c r="AJ331" s="91"/>
      <c r="AK331" s="91"/>
      <c r="AL331" s="91"/>
      <c r="AM331" s="91"/>
      <c r="AN331" s="91"/>
    </row>
    <row r="332">
      <c r="A332" s="164"/>
      <c r="B332" s="165"/>
      <c r="C332" s="165"/>
      <c r="D332" s="164"/>
      <c r="E332" s="164"/>
      <c r="F332" s="164"/>
      <c r="G332" s="91"/>
      <c r="H332" s="91"/>
      <c r="I332" s="91"/>
      <c r="J332" s="91"/>
      <c r="K332" s="160"/>
      <c r="L332" s="160"/>
      <c r="M332" s="160"/>
      <c r="N332" s="160"/>
      <c r="O332" s="160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  <c r="AC332" s="91"/>
      <c r="AD332" s="91"/>
      <c r="AE332" s="91"/>
      <c r="AF332" s="91"/>
      <c r="AG332" s="91"/>
      <c r="AH332" s="91"/>
      <c r="AI332" s="91"/>
      <c r="AJ332" s="91"/>
      <c r="AK332" s="91"/>
      <c r="AL332" s="91"/>
      <c r="AM332" s="91"/>
      <c r="AN332" s="91"/>
    </row>
    <row r="333">
      <c r="A333" s="164"/>
      <c r="B333" s="165"/>
      <c r="C333" s="165"/>
      <c r="D333" s="164"/>
      <c r="E333" s="164"/>
      <c r="F333" s="164"/>
      <c r="G333" s="91"/>
      <c r="H333" s="91"/>
      <c r="I333" s="91"/>
      <c r="J333" s="91"/>
      <c r="K333" s="160"/>
      <c r="L333" s="160"/>
      <c r="M333" s="160"/>
      <c r="N333" s="160"/>
      <c r="O333" s="160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  <c r="AC333" s="91"/>
      <c r="AD333" s="91"/>
      <c r="AE333" s="91"/>
      <c r="AF333" s="91"/>
      <c r="AG333" s="91"/>
      <c r="AH333" s="91"/>
      <c r="AI333" s="91"/>
      <c r="AJ333" s="91"/>
      <c r="AK333" s="91"/>
      <c r="AL333" s="91"/>
      <c r="AM333" s="91"/>
      <c r="AN333" s="91"/>
    </row>
    <row r="334">
      <c r="A334" s="164"/>
      <c r="B334" s="165"/>
      <c r="C334" s="165"/>
      <c r="D334" s="164"/>
      <c r="E334" s="164"/>
      <c r="F334" s="164"/>
      <c r="G334" s="91"/>
      <c r="H334" s="91"/>
      <c r="I334" s="91"/>
      <c r="J334" s="91"/>
      <c r="K334" s="160"/>
      <c r="L334" s="160"/>
      <c r="M334" s="160"/>
      <c r="N334" s="160"/>
      <c r="O334" s="160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  <c r="AC334" s="91"/>
      <c r="AD334" s="91"/>
      <c r="AE334" s="91"/>
      <c r="AF334" s="91"/>
      <c r="AG334" s="91"/>
      <c r="AH334" s="91"/>
      <c r="AI334" s="91"/>
      <c r="AJ334" s="91"/>
      <c r="AK334" s="91"/>
      <c r="AL334" s="91"/>
      <c r="AM334" s="91"/>
      <c r="AN334" s="91"/>
    </row>
    <row r="335">
      <c r="A335" s="164"/>
      <c r="B335" s="165"/>
      <c r="C335" s="165"/>
      <c r="D335" s="164"/>
      <c r="E335" s="164"/>
      <c r="F335" s="164"/>
      <c r="G335" s="91"/>
      <c r="H335" s="91"/>
      <c r="I335" s="91"/>
      <c r="J335" s="91"/>
      <c r="K335" s="160"/>
      <c r="L335" s="160"/>
      <c r="M335" s="160"/>
      <c r="N335" s="160"/>
      <c r="O335" s="160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  <c r="AC335" s="91"/>
      <c r="AD335" s="91"/>
      <c r="AE335" s="91"/>
      <c r="AF335" s="91"/>
      <c r="AG335" s="91"/>
      <c r="AH335" s="91"/>
      <c r="AI335" s="91"/>
      <c r="AJ335" s="91"/>
      <c r="AK335" s="91"/>
      <c r="AL335" s="91"/>
      <c r="AM335" s="91"/>
      <c r="AN335" s="91"/>
    </row>
    <row r="336">
      <c r="A336" s="164"/>
      <c r="B336" s="165"/>
      <c r="C336" s="165"/>
      <c r="D336" s="164"/>
      <c r="E336" s="164"/>
      <c r="F336" s="164"/>
      <c r="G336" s="91"/>
      <c r="H336" s="91"/>
      <c r="I336" s="91"/>
      <c r="J336" s="91"/>
      <c r="K336" s="160"/>
      <c r="L336" s="160"/>
      <c r="M336" s="160"/>
      <c r="N336" s="160"/>
      <c r="O336" s="160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  <c r="AC336" s="91"/>
      <c r="AD336" s="91"/>
      <c r="AE336" s="91"/>
      <c r="AF336" s="91"/>
      <c r="AG336" s="91"/>
      <c r="AH336" s="91"/>
      <c r="AI336" s="91"/>
      <c r="AJ336" s="91"/>
      <c r="AK336" s="91"/>
      <c r="AL336" s="91"/>
      <c r="AM336" s="91"/>
      <c r="AN336" s="91"/>
    </row>
    <row r="337">
      <c r="A337" s="164"/>
      <c r="B337" s="165"/>
      <c r="C337" s="165"/>
      <c r="D337" s="164"/>
      <c r="E337" s="164"/>
      <c r="F337" s="164"/>
      <c r="G337" s="91"/>
      <c r="H337" s="91"/>
      <c r="I337" s="91"/>
      <c r="J337" s="91"/>
      <c r="K337" s="160"/>
      <c r="L337" s="160"/>
      <c r="M337" s="160"/>
      <c r="N337" s="160"/>
      <c r="O337" s="160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  <c r="AC337" s="91"/>
      <c r="AD337" s="91"/>
      <c r="AE337" s="91"/>
      <c r="AF337" s="91"/>
      <c r="AG337" s="91"/>
      <c r="AH337" s="91"/>
      <c r="AI337" s="91"/>
      <c r="AJ337" s="91"/>
      <c r="AK337" s="91"/>
      <c r="AL337" s="91"/>
      <c r="AM337" s="91"/>
      <c r="AN337" s="91"/>
    </row>
    <row r="338">
      <c r="A338" s="164"/>
      <c r="B338" s="165"/>
      <c r="C338" s="165"/>
      <c r="D338" s="164"/>
      <c r="E338" s="164"/>
      <c r="F338" s="164"/>
      <c r="G338" s="91"/>
      <c r="H338" s="91"/>
      <c r="I338" s="91"/>
      <c r="J338" s="91"/>
      <c r="K338" s="160"/>
      <c r="L338" s="160"/>
      <c r="M338" s="160"/>
      <c r="N338" s="160"/>
      <c r="O338" s="160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91"/>
      <c r="AD338" s="91"/>
      <c r="AE338" s="91"/>
      <c r="AF338" s="91"/>
      <c r="AG338" s="91"/>
      <c r="AH338" s="91"/>
      <c r="AI338" s="91"/>
      <c r="AJ338" s="91"/>
      <c r="AK338" s="91"/>
      <c r="AL338" s="91"/>
      <c r="AM338" s="91"/>
      <c r="AN338" s="91"/>
    </row>
    <row r="339">
      <c r="A339" s="164"/>
      <c r="B339" s="165"/>
      <c r="C339" s="165"/>
      <c r="D339" s="164"/>
      <c r="E339" s="164"/>
      <c r="F339" s="164"/>
      <c r="G339" s="91"/>
      <c r="H339" s="91"/>
      <c r="I339" s="91"/>
      <c r="J339" s="91"/>
      <c r="K339" s="160"/>
      <c r="L339" s="160"/>
      <c r="M339" s="160"/>
      <c r="N339" s="160"/>
      <c r="O339" s="160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  <c r="AC339" s="91"/>
      <c r="AD339" s="91"/>
      <c r="AE339" s="91"/>
      <c r="AF339" s="91"/>
      <c r="AG339" s="91"/>
      <c r="AH339" s="91"/>
      <c r="AI339" s="91"/>
      <c r="AJ339" s="91"/>
      <c r="AK339" s="91"/>
      <c r="AL339" s="91"/>
      <c r="AM339" s="91"/>
      <c r="AN339" s="91"/>
    </row>
    <row r="340">
      <c r="A340" s="164"/>
      <c r="B340" s="165"/>
      <c r="C340" s="165"/>
      <c r="D340" s="164"/>
      <c r="E340" s="164"/>
      <c r="F340" s="164"/>
      <c r="G340" s="91"/>
      <c r="H340" s="91"/>
      <c r="I340" s="91"/>
      <c r="J340" s="91"/>
      <c r="K340" s="160"/>
      <c r="L340" s="160"/>
      <c r="M340" s="160"/>
      <c r="N340" s="160"/>
      <c r="O340" s="160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  <c r="AC340" s="91"/>
      <c r="AD340" s="91"/>
      <c r="AE340" s="91"/>
      <c r="AF340" s="91"/>
      <c r="AG340" s="91"/>
      <c r="AH340" s="91"/>
      <c r="AI340" s="91"/>
      <c r="AJ340" s="91"/>
      <c r="AK340" s="91"/>
      <c r="AL340" s="91"/>
      <c r="AM340" s="91"/>
      <c r="AN340" s="91"/>
    </row>
    <row r="341">
      <c r="A341" s="164"/>
      <c r="B341" s="165"/>
      <c r="C341" s="165"/>
      <c r="D341" s="164"/>
      <c r="E341" s="164"/>
      <c r="F341" s="164"/>
      <c r="G341" s="91"/>
      <c r="H341" s="91"/>
      <c r="I341" s="91"/>
      <c r="J341" s="91"/>
      <c r="K341" s="160"/>
      <c r="L341" s="160"/>
      <c r="M341" s="160"/>
      <c r="N341" s="160"/>
      <c r="O341" s="160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  <c r="AC341" s="91"/>
      <c r="AD341" s="91"/>
      <c r="AE341" s="91"/>
      <c r="AF341" s="91"/>
      <c r="AG341" s="91"/>
      <c r="AH341" s="91"/>
      <c r="AI341" s="91"/>
      <c r="AJ341" s="91"/>
      <c r="AK341" s="91"/>
      <c r="AL341" s="91"/>
      <c r="AM341" s="91"/>
      <c r="AN341" s="91"/>
    </row>
    <row r="342">
      <c r="A342" s="164"/>
      <c r="B342" s="165"/>
      <c r="C342" s="165"/>
      <c r="D342" s="164"/>
      <c r="E342" s="164"/>
      <c r="F342" s="164"/>
      <c r="G342" s="91"/>
      <c r="H342" s="91"/>
      <c r="I342" s="91"/>
      <c r="J342" s="91"/>
      <c r="K342" s="160"/>
      <c r="L342" s="160"/>
      <c r="M342" s="160"/>
      <c r="N342" s="160"/>
      <c r="O342" s="160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  <c r="AC342" s="91"/>
      <c r="AD342" s="91"/>
      <c r="AE342" s="91"/>
      <c r="AF342" s="91"/>
      <c r="AG342" s="91"/>
      <c r="AH342" s="91"/>
      <c r="AI342" s="91"/>
      <c r="AJ342" s="91"/>
      <c r="AK342" s="91"/>
      <c r="AL342" s="91"/>
      <c r="AM342" s="91"/>
      <c r="AN342" s="91"/>
    </row>
    <row r="343">
      <c r="A343" s="164"/>
      <c r="B343" s="165"/>
      <c r="C343" s="165"/>
      <c r="D343" s="164"/>
      <c r="E343" s="164"/>
      <c r="F343" s="164"/>
      <c r="G343" s="91"/>
      <c r="H343" s="91"/>
      <c r="I343" s="91"/>
      <c r="J343" s="91"/>
      <c r="K343" s="160"/>
      <c r="L343" s="160"/>
      <c r="M343" s="160"/>
      <c r="N343" s="160"/>
      <c r="O343" s="160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  <c r="AC343" s="91"/>
      <c r="AD343" s="91"/>
      <c r="AE343" s="91"/>
      <c r="AF343" s="91"/>
      <c r="AG343" s="91"/>
      <c r="AH343" s="91"/>
      <c r="AI343" s="91"/>
      <c r="AJ343" s="91"/>
      <c r="AK343" s="91"/>
      <c r="AL343" s="91"/>
      <c r="AM343" s="91"/>
      <c r="AN343" s="91"/>
    </row>
    <row r="344">
      <c r="A344" s="164"/>
      <c r="B344" s="165"/>
      <c r="C344" s="165"/>
      <c r="D344" s="164"/>
      <c r="E344" s="164"/>
      <c r="F344" s="164"/>
      <c r="G344" s="91"/>
      <c r="H344" s="91"/>
      <c r="I344" s="91"/>
      <c r="J344" s="91"/>
      <c r="K344" s="160"/>
      <c r="L344" s="160"/>
      <c r="M344" s="160"/>
      <c r="N344" s="160"/>
      <c r="O344" s="160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  <c r="AC344" s="91"/>
      <c r="AD344" s="91"/>
      <c r="AE344" s="91"/>
      <c r="AF344" s="91"/>
      <c r="AG344" s="91"/>
      <c r="AH344" s="91"/>
      <c r="AI344" s="91"/>
      <c r="AJ344" s="91"/>
      <c r="AK344" s="91"/>
      <c r="AL344" s="91"/>
      <c r="AM344" s="91"/>
      <c r="AN344" s="91"/>
    </row>
    <row r="345">
      <c r="A345" s="164"/>
      <c r="B345" s="165"/>
      <c r="C345" s="165"/>
      <c r="D345" s="164"/>
      <c r="E345" s="164"/>
      <c r="F345" s="164"/>
      <c r="G345" s="91"/>
      <c r="H345" s="91"/>
      <c r="I345" s="91"/>
      <c r="J345" s="91"/>
      <c r="K345" s="160"/>
      <c r="L345" s="160"/>
      <c r="M345" s="160"/>
      <c r="N345" s="160"/>
      <c r="O345" s="160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  <c r="AC345" s="91"/>
      <c r="AD345" s="91"/>
      <c r="AE345" s="91"/>
      <c r="AF345" s="91"/>
      <c r="AG345" s="91"/>
      <c r="AH345" s="91"/>
      <c r="AI345" s="91"/>
      <c r="AJ345" s="91"/>
      <c r="AK345" s="91"/>
      <c r="AL345" s="91"/>
      <c r="AM345" s="91"/>
      <c r="AN345" s="91"/>
    </row>
    <row r="346">
      <c r="A346" s="164"/>
      <c r="B346" s="165"/>
      <c r="C346" s="165"/>
      <c r="D346" s="164"/>
      <c r="E346" s="164"/>
      <c r="F346" s="164"/>
      <c r="G346" s="91"/>
      <c r="H346" s="91"/>
      <c r="I346" s="91"/>
      <c r="J346" s="91"/>
      <c r="K346" s="160"/>
      <c r="L346" s="160"/>
      <c r="M346" s="160"/>
      <c r="N346" s="160"/>
      <c r="O346" s="160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  <c r="AC346" s="91"/>
      <c r="AD346" s="91"/>
      <c r="AE346" s="91"/>
      <c r="AF346" s="91"/>
      <c r="AG346" s="91"/>
      <c r="AH346" s="91"/>
      <c r="AI346" s="91"/>
      <c r="AJ346" s="91"/>
      <c r="AK346" s="91"/>
      <c r="AL346" s="91"/>
      <c r="AM346" s="91"/>
      <c r="AN346" s="91"/>
    </row>
    <row r="347">
      <c r="A347" s="164"/>
      <c r="B347" s="165"/>
      <c r="C347" s="165"/>
      <c r="D347" s="164"/>
      <c r="E347" s="164"/>
      <c r="F347" s="164"/>
      <c r="G347" s="91"/>
      <c r="H347" s="91"/>
      <c r="I347" s="91"/>
      <c r="J347" s="91"/>
      <c r="K347" s="160"/>
      <c r="L347" s="160"/>
      <c r="M347" s="160"/>
      <c r="N347" s="160"/>
      <c r="O347" s="160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  <c r="AC347" s="91"/>
      <c r="AD347" s="91"/>
      <c r="AE347" s="91"/>
      <c r="AF347" s="91"/>
      <c r="AG347" s="91"/>
      <c r="AH347" s="91"/>
      <c r="AI347" s="91"/>
      <c r="AJ347" s="91"/>
      <c r="AK347" s="91"/>
      <c r="AL347" s="91"/>
      <c r="AM347" s="91"/>
      <c r="AN347" s="91"/>
    </row>
    <row r="348">
      <c r="A348" s="164"/>
      <c r="B348" s="165"/>
      <c r="C348" s="165"/>
      <c r="D348" s="164"/>
      <c r="E348" s="164"/>
      <c r="F348" s="164"/>
      <c r="G348" s="91"/>
      <c r="H348" s="91"/>
      <c r="I348" s="91"/>
      <c r="J348" s="91"/>
      <c r="K348" s="160"/>
      <c r="L348" s="160"/>
      <c r="M348" s="160"/>
      <c r="N348" s="160"/>
      <c r="O348" s="160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  <c r="AC348" s="91"/>
      <c r="AD348" s="91"/>
      <c r="AE348" s="91"/>
      <c r="AF348" s="91"/>
      <c r="AG348" s="91"/>
      <c r="AH348" s="91"/>
      <c r="AI348" s="91"/>
      <c r="AJ348" s="91"/>
      <c r="AK348" s="91"/>
      <c r="AL348" s="91"/>
      <c r="AM348" s="91"/>
      <c r="AN348" s="91"/>
    </row>
    <row r="349">
      <c r="A349" s="164"/>
      <c r="B349" s="165"/>
      <c r="C349" s="165"/>
      <c r="D349" s="164"/>
      <c r="E349" s="164"/>
      <c r="F349" s="164"/>
      <c r="G349" s="91"/>
      <c r="H349" s="91"/>
      <c r="I349" s="91"/>
      <c r="J349" s="91"/>
      <c r="K349" s="160"/>
      <c r="L349" s="160"/>
      <c r="M349" s="160"/>
      <c r="N349" s="160"/>
      <c r="O349" s="160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  <c r="AC349" s="91"/>
      <c r="AD349" s="91"/>
      <c r="AE349" s="91"/>
      <c r="AF349" s="91"/>
      <c r="AG349" s="91"/>
      <c r="AH349" s="91"/>
      <c r="AI349" s="91"/>
      <c r="AJ349" s="91"/>
      <c r="AK349" s="91"/>
      <c r="AL349" s="91"/>
      <c r="AM349" s="91"/>
      <c r="AN349" s="91"/>
    </row>
    <row r="350">
      <c r="A350" s="164"/>
      <c r="B350" s="165"/>
      <c r="C350" s="165"/>
      <c r="D350" s="164"/>
      <c r="E350" s="164"/>
      <c r="F350" s="164"/>
      <c r="G350" s="91"/>
      <c r="H350" s="91"/>
      <c r="I350" s="91"/>
      <c r="J350" s="91"/>
      <c r="K350" s="160"/>
      <c r="L350" s="160"/>
      <c r="M350" s="160"/>
      <c r="N350" s="160"/>
      <c r="O350" s="160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  <c r="AC350" s="91"/>
      <c r="AD350" s="91"/>
      <c r="AE350" s="91"/>
      <c r="AF350" s="91"/>
      <c r="AG350" s="91"/>
      <c r="AH350" s="91"/>
      <c r="AI350" s="91"/>
      <c r="AJ350" s="91"/>
      <c r="AK350" s="91"/>
      <c r="AL350" s="91"/>
      <c r="AM350" s="91"/>
      <c r="AN350" s="91"/>
    </row>
    <row r="351">
      <c r="A351" s="164"/>
      <c r="B351" s="165"/>
      <c r="C351" s="165"/>
      <c r="D351" s="164"/>
      <c r="E351" s="164"/>
      <c r="F351" s="164"/>
      <c r="G351" s="91"/>
      <c r="H351" s="91"/>
      <c r="I351" s="91"/>
      <c r="J351" s="91"/>
      <c r="K351" s="160"/>
      <c r="L351" s="160"/>
      <c r="M351" s="160"/>
      <c r="N351" s="160"/>
      <c r="O351" s="160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  <c r="AC351" s="91"/>
      <c r="AD351" s="91"/>
      <c r="AE351" s="91"/>
      <c r="AF351" s="91"/>
      <c r="AG351" s="91"/>
      <c r="AH351" s="91"/>
      <c r="AI351" s="91"/>
      <c r="AJ351" s="91"/>
      <c r="AK351" s="91"/>
      <c r="AL351" s="91"/>
      <c r="AM351" s="91"/>
      <c r="AN351" s="91"/>
    </row>
    <row r="352">
      <c r="A352" s="164"/>
      <c r="B352" s="165"/>
      <c r="C352" s="165"/>
      <c r="D352" s="164"/>
      <c r="E352" s="164"/>
      <c r="F352" s="164"/>
      <c r="G352" s="91"/>
      <c r="H352" s="91"/>
      <c r="I352" s="91"/>
      <c r="J352" s="91"/>
      <c r="K352" s="160"/>
      <c r="L352" s="160"/>
      <c r="M352" s="160"/>
      <c r="N352" s="160"/>
      <c r="O352" s="160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  <c r="AD352" s="91"/>
      <c r="AE352" s="91"/>
      <c r="AF352" s="91"/>
      <c r="AG352" s="91"/>
      <c r="AH352" s="91"/>
      <c r="AI352" s="91"/>
      <c r="AJ352" s="91"/>
      <c r="AK352" s="91"/>
      <c r="AL352" s="91"/>
      <c r="AM352" s="91"/>
      <c r="AN352" s="91"/>
    </row>
    <row r="353">
      <c r="A353" s="164"/>
      <c r="B353" s="165"/>
      <c r="C353" s="165"/>
      <c r="D353" s="164"/>
      <c r="E353" s="164"/>
      <c r="F353" s="164"/>
      <c r="G353" s="91"/>
      <c r="H353" s="91"/>
      <c r="I353" s="91"/>
      <c r="J353" s="91"/>
      <c r="K353" s="160"/>
      <c r="L353" s="160"/>
      <c r="M353" s="160"/>
      <c r="N353" s="160"/>
      <c r="O353" s="160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  <c r="AC353" s="91"/>
      <c r="AD353" s="91"/>
      <c r="AE353" s="91"/>
      <c r="AF353" s="91"/>
      <c r="AG353" s="91"/>
      <c r="AH353" s="91"/>
      <c r="AI353" s="91"/>
      <c r="AJ353" s="91"/>
      <c r="AK353" s="91"/>
      <c r="AL353" s="91"/>
      <c r="AM353" s="91"/>
      <c r="AN353" s="91"/>
    </row>
    <row r="354">
      <c r="A354" s="164"/>
      <c r="B354" s="165"/>
      <c r="C354" s="165"/>
      <c r="D354" s="164"/>
      <c r="E354" s="164"/>
      <c r="F354" s="164"/>
      <c r="G354" s="91"/>
      <c r="H354" s="91"/>
      <c r="I354" s="91"/>
      <c r="J354" s="91"/>
      <c r="K354" s="160"/>
      <c r="L354" s="160"/>
      <c r="M354" s="160"/>
      <c r="N354" s="160"/>
      <c r="O354" s="160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91"/>
      <c r="AD354" s="91"/>
      <c r="AE354" s="91"/>
      <c r="AF354" s="91"/>
      <c r="AG354" s="91"/>
      <c r="AH354" s="91"/>
      <c r="AI354" s="91"/>
      <c r="AJ354" s="91"/>
      <c r="AK354" s="91"/>
      <c r="AL354" s="91"/>
      <c r="AM354" s="91"/>
      <c r="AN354" s="91"/>
    </row>
    <row r="355">
      <c r="A355" s="164"/>
      <c r="B355" s="165"/>
      <c r="C355" s="165"/>
      <c r="D355" s="164"/>
      <c r="E355" s="164"/>
      <c r="F355" s="164"/>
      <c r="G355" s="91"/>
      <c r="H355" s="91"/>
      <c r="I355" s="91"/>
      <c r="J355" s="91"/>
      <c r="K355" s="160"/>
      <c r="L355" s="160"/>
      <c r="M355" s="160"/>
      <c r="N355" s="160"/>
      <c r="O355" s="160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  <c r="AC355" s="91"/>
      <c r="AD355" s="91"/>
      <c r="AE355" s="91"/>
      <c r="AF355" s="91"/>
      <c r="AG355" s="91"/>
      <c r="AH355" s="91"/>
      <c r="AI355" s="91"/>
      <c r="AJ355" s="91"/>
      <c r="AK355" s="91"/>
      <c r="AL355" s="91"/>
      <c r="AM355" s="91"/>
      <c r="AN355" s="91"/>
    </row>
    <row r="356">
      <c r="A356" s="164"/>
      <c r="B356" s="165"/>
      <c r="C356" s="165"/>
      <c r="D356" s="164"/>
      <c r="E356" s="164"/>
      <c r="F356" s="164"/>
      <c r="G356" s="91"/>
      <c r="H356" s="91"/>
      <c r="I356" s="91"/>
      <c r="J356" s="91"/>
      <c r="K356" s="160"/>
      <c r="L356" s="160"/>
      <c r="M356" s="160"/>
      <c r="N356" s="160"/>
      <c r="O356" s="160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  <c r="AC356" s="91"/>
      <c r="AD356" s="91"/>
      <c r="AE356" s="91"/>
      <c r="AF356" s="91"/>
      <c r="AG356" s="91"/>
      <c r="AH356" s="91"/>
      <c r="AI356" s="91"/>
      <c r="AJ356" s="91"/>
      <c r="AK356" s="91"/>
      <c r="AL356" s="91"/>
      <c r="AM356" s="91"/>
      <c r="AN356" s="91"/>
    </row>
    <row r="357">
      <c r="A357" s="164"/>
      <c r="B357" s="165"/>
      <c r="C357" s="165"/>
      <c r="D357" s="164"/>
      <c r="E357" s="164"/>
      <c r="F357" s="164"/>
      <c r="G357" s="91"/>
      <c r="H357" s="91"/>
      <c r="I357" s="91"/>
      <c r="J357" s="91"/>
      <c r="K357" s="160"/>
      <c r="L357" s="160"/>
      <c r="M357" s="160"/>
      <c r="N357" s="160"/>
      <c r="O357" s="160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  <c r="AC357" s="91"/>
      <c r="AD357" s="91"/>
      <c r="AE357" s="91"/>
      <c r="AF357" s="91"/>
      <c r="AG357" s="91"/>
      <c r="AH357" s="91"/>
      <c r="AI357" s="91"/>
      <c r="AJ357" s="91"/>
      <c r="AK357" s="91"/>
      <c r="AL357" s="91"/>
      <c r="AM357" s="91"/>
      <c r="AN357" s="91"/>
    </row>
    <row r="358">
      <c r="A358" s="164"/>
      <c r="B358" s="165"/>
      <c r="C358" s="165"/>
      <c r="D358" s="164"/>
      <c r="E358" s="164"/>
      <c r="F358" s="164"/>
      <c r="G358" s="91"/>
      <c r="H358" s="91"/>
      <c r="I358" s="91"/>
      <c r="J358" s="91"/>
      <c r="K358" s="160"/>
      <c r="L358" s="160"/>
      <c r="M358" s="160"/>
      <c r="N358" s="160"/>
      <c r="O358" s="160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  <c r="AC358" s="91"/>
      <c r="AD358" s="91"/>
      <c r="AE358" s="91"/>
      <c r="AF358" s="91"/>
      <c r="AG358" s="91"/>
      <c r="AH358" s="91"/>
      <c r="AI358" s="91"/>
      <c r="AJ358" s="91"/>
      <c r="AK358" s="91"/>
      <c r="AL358" s="91"/>
      <c r="AM358" s="91"/>
      <c r="AN358" s="91"/>
    </row>
    <row r="359">
      <c r="A359" s="164"/>
      <c r="B359" s="165"/>
      <c r="C359" s="165"/>
      <c r="D359" s="164"/>
      <c r="E359" s="164"/>
      <c r="F359" s="164"/>
      <c r="G359" s="91"/>
      <c r="H359" s="91"/>
      <c r="I359" s="91"/>
      <c r="J359" s="91"/>
      <c r="K359" s="160"/>
      <c r="L359" s="160"/>
      <c r="M359" s="160"/>
      <c r="N359" s="160"/>
      <c r="O359" s="160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  <c r="AC359" s="91"/>
      <c r="AD359" s="91"/>
      <c r="AE359" s="91"/>
      <c r="AF359" s="91"/>
      <c r="AG359" s="91"/>
      <c r="AH359" s="91"/>
      <c r="AI359" s="91"/>
      <c r="AJ359" s="91"/>
      <c r="AK359" s="91"/>
      <c r="AL359" s="91"/>
      <c r="AM359" s="91"/>
      <c r="AN359" s="91"/>
    </row>
    <row r="360">
      <c r="A360" s="164"/>
      <c r="B360" s="165"/>
      <c r="C360" s="165"/>
      <c r="D360" s="164"/>
      <c r="E360" s="164"/>
      <c r="F360" s="164"/>
      <c r="G360" s="91"/>
      <c r="H360" s="91"/>
      <c r="I360" s="91"/>
      <c r="J360" s="91"/>
      <c r="K360" s="160"/>
      <c r="L360" s="160"/>
      <c r="M360" s="160"/>
      <c r="N360" s="160"/>
      <c r="O360" s="160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  <c r="AC360" s="91"/>
      <c r="AD360" s="91"/>
      <c r="AE360" s="91"/>
      <c r="AF360" s="91"/>
      <c r="AG360" s="91"/>
      <c r="AH360" s="91"/>
      <c r="AI360" s="91"/>
      <c r="AJ360" s="91"/>
      <c r="AK360" s="91"/>
      <c r="AL360" s="91"/>
      <c r="AM360" s="91"/>
      <c r="AN360" s="91"/>
    </row>
    <row r="361">
      <c r="A361" s="164"/>
      <c r="B361" s="165"/>
      <c r="C361" s="165"/>
      <c r="D361" s="164"/>
      <c r="E361" s="164"/>
      <c r="F361" s="164"/>
      <c r="G361" s="91"/>
      <c r="H361" s="91"/>
      <c r="I361" s="91"/>
      <c r="J361" s="91"/>
      <c r="K361" s="160"/>
      <c r="L361" s="160"/>
      <c r="M361" s="160"/>
      <c r="N361" s="160"/>
      <c r="O361" s="160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  <c r="AC361" s="91"/>
      <c r="AD361" s="91"/>
      <c r="AE361" s="91"/>
      <c r="AF361" s="91"/>
      <c r="AG361" s="91"/>
      <c r="AH361" s="91"/>
      <c r="AI361" s="91"/>
      <c r="AJ361" s="91"/>
      <c r="AK361" s="91"/>
      <c r="AL361" s="91"/>
      <c r="AM361" s="91"/>
      <c r="AN361" s="91"/>
    </row>
    <row r="362">
      <c r="A362" s="164"/>
      <c r="B362" s="165"/>
      <c r="C362" s="165"/>
      <c r="D362" s="164"/>
      <c r="E362" s="164"/>
      <c r="F362" s="164"/>
      <c r="G362" s="91"/>
      <c r="H362" s="91"/>
      <c r="I362" s="91"/>
      <c r="J362" s="91"/>
      <c r="K362" s="160"/>
      <c r="L362" s="160"/>
      <c r="M362" s="160"/>
      <c r="N362" s="160"/>
      <c r="O362" s="160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  <c r="AC362" s="91"/>
      <c r="AD362" s="91"/>
      <c r="AE362" s="91"/>
      <c r="AF362" s="91"/>
      <c r="AG362" s="91"/>
      <c r="AH362" s="91"/>
      <c r="AI362" s="91"/>
      <c r="AJ362" s="91"/>
      <c r="AK362" s="91"/>
      <c r="AL362" s="91"/>
      <c r="AM362" s="91"/>
      <c r="AN362" s="91"/>
    </row>
    <row r="363">
      <c r="A363" s="164"/>
      <c r="B363" s="165"/>
      <c r="C363" s="165"/>
      <c r="D363" s="164"/>
      <c r="E363" s="164"/>
      <c r="F363" s="164"/>
      <c r="G363" s="91"/>
      <c r="H363" s="91"/>
      <c r="I363" s="91"/>
      <c r="J363" s="91"/>
      <c r="K363" s="160"/>
      <c r="L363" s="160"/>
      <c r="M363" s="160"/>
      <c r="N363" s="160"/>
      <c r="O363" s="160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  <c r="AC363" s="91"/>
      <c r="AD363" s="91"/>
      <c r="AE363" s="91"/>
      <c r="AF363" s="91"/>
      <c r="AG363" s="91"/>
      <c r="AH363" s="91"/>
      <c r="AI363" s="91"/>
      <c r="AJ363" s="91"/>
      <c r="AK363" s="91"/>
      <c r="AL363" s="91"/>
      <c r="AM363" s="91"/>
      <c r="AN363" s="91"/>
    </row>
    <row r="364">
      <c r="A364" s="164"/>
      <c r="B364" s="165"/>
      <c r="C364" s="165"/>
      <c r="D364" s="164"/>
      <c r="E364" s="164"/>
      <c r="F364" s="164"/>
      <c r="G364" s="91"/>
      <c r="H364" s="91"/>
      <c r="I364" s="91"/>
      <c r="J364" s="91"/>
      <c r="K364" s="160"/>
      <c r="L364" s="160"/>
      <c r="M364" s="160"/>
      <c r="N364" s="160"/>
      <c r="O364" s="160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  <c r="AC364" s="91"/>
      <c r="AD364" s="91"/>
      <c r="AE364" s="91"/>
      <c r="AF364" s="91"/>
      <c r="AG364" s="91"/>
      <c r="AH364" s="91"/>
      <c r="AI364" s="91"/>
      <c r="AJ364" s="91"/>
      <c r="AK364" s="91"/>
      <c r="AL364" s="91"/>
      <c r="AM364" s="91"/>
      <c r="AN364" s="91"/>
    </row>
    <row r="365">
      <c r="A365" s="164"/>
      <c r="B365" s="165"/>
      <c r="C365" s="165"/>
      <c r="D365" s="164"/>
      <c r="E365" s="164"/>
      <c r="F365" s="164"/>
      <c r="G365" s="91"/>
      <c r="H365" s="91"/>
      <c r="I365" s="91"/>
      <c r="J365" s="91"/>
      <c r="K365" s="160"/>
      <c r="L365" s="160"/>
      <c r="M365" s="160"/>
      <c r="N365" s="160"/>
      <c r="O365" s="160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  <c r="AC365" s="91"/>
      <c r="AD365" s="91"/>
      <c r="AE365" s="91"/>
      <c r="AF365" s="91"/>
      <c r="AG365" s="91"/>
      <c r="AH365" s="91"/>
      <c r="AI365" s="91"/>
      <c r="AJ365" s="91"/>
      <c r="AK365" s="91"/>
      <c r="AL365" s="91"/>
      <c r="AM365" s="91"/>
      <c r="AN365" s="91"/>
    </row>
    <row r="366">
      <c r="A366" s="164"/>
      <c r="B366" s="165"/>
      <c r="C366" s="165"/>
      <c r="D366" s="164"/>
      <c r="E366" s="164"/>
      <c r="F366" s="164"/>
      <c r="G366" s="91"/>
      <c r="H366" s="91"/>
      <c r="I366" s="91"/>
      <c r="J366" s="91"/>
      <c r="K366" s="160"/>
      <c r="L366" s="160"/>
      <c r="M366" s="160"/>
      <c r="N366" s="160"/>
      <c r="O366" s="160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  <c r="AC366" s="91"/>
      <c r="AD366" s="91"/>
      <c r="AE366" s="91"/>
      <c r="AF366" s="91"/>
      <c r="AG366" s="91"/>
      <c r="AH366" s="91"/>
      <c r="AI366" s="91"/>
      <c r="AJ366" s="91"/>
      <c r="AK366" s="91"/>
      <c r="AL366" s="91"/>
      <c r="AM366" s="91"/>
      <c r="AN366" s="91"/>
    </row>
    <row r="367">
      <c r="A367" s="164"/>
      <c r="B367" s="165"/>
      <c r="C367" s="165"/>
      <c r="D367" s="164"/>
      <c r="E367" s="164"/>
      <c r="F367" s="164"/>
      <c r="G367" s="91"/>
      <c r="H367" s="91"/>
      <c r="I367" s="91"/>
      <c r="J367" s="91"/>
      <c r="K367" s="160"/>
      <c r="L367" s="160"/>
      <c r="M367" s="160"/>
      <c r="N367" s="160"/>
      <c r="O367" s="160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  <c r="AC367" s="91"/>
      <c r="AD367" s="91"/>
      <c r="AE367" s="91"/>
      <c r="AF367" s="91"/>
      <c r="AG367" s="91"/>
      <c r="AH367" s="91"/>
      <c r="AI367" s="91"/>
      <c r="AJ367" s="91"/>
      <c r="AK367" s="91"/>
      <c r="AL367" s="91"/>
      <c r="AM367" s="91"/>
      <c r="AN367" s="91"/>
    </row>
    <row r="368">
      <c r="A368" s="164"/>
      <c r="B368" s="165"/>
      <c r="C368" s="165"/>
      <c r="D368" s="164"/>
      <c r="E368" s="164"/>
      <c r="F368" s="164"/>
      <c r="G368" s="91"/>
      <c r="H368" s="91"/>
      <c r="I368" s="91"/>
      <c r="J368" s="91"/>
      <c r="K368" s="160"/>
      <c r="L368" s="160"/>
      <c r="M368" s="160"/>
      <c r="N368" s="160"/>
      <c r="O368" s="160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  <c r="AC368" s="91"/>
      <c r="AD368" s="91"/>
      <c r="AE368" s="91"/>
      <c r="AF368" s="91"/>
      <c r="AG368" s="91"/>
      <c r="AH368" s="91"/>
      <c r="AI368" s="91"/>
      <c r="AJ368" s="91"/>
      <c r="AK368" s="91"/>
      <c r="AL368" s="91"/>
      <c r="AM368" s="91"/>
      <c r="AN368" s="91"/>
    </row>
    <row r="369">
      <c r="A369" s="164"/>
      <c r="B369" s="165"/>
      <c r="C369" s="165"/>
      <c r="D369" s="164"/>
      <c r="E369" s="164"/>
      <c r="F369" s="164"/>
      <c r="G369" s="91"/>
      <c r="H369" s="91"/>
      <c r="I369" s="91"/>
      <c r="J369" s="91"/>
      <c r="K369" s="160"/>
      <c r="L369" s="160"/>
      <c r="M369" s="160"/>
      <c r="N369" s="160"/>
      <c r="O369" s="160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  <c r="AC369" s="91"/>
      <c r="AD369" s="91"/>
      <c r="AE369" s="91"/>
      <c r="AF369" s="91"/>
      <c r="AG369" s="91"/>
      <c r="AH369" s="91"/>
      <c r="AI369" s="91"/>
      <c r="AJ369" s="91"/>
      <c r="AK369" s="91"/>
      <c r="AL369" s="91"/>
      <c r="AM369" s="91"/>
      <c r="AN369" s="91"/>
    </row>
    <row r="370">
      <c r="A370" s="164"/>
      <c r="B370" s="165"/>
      <c r="C370" s="165"/>
      <c r="D370" s="164"/>
      <c r="E370" s="164"/>
      <c r="F370" s="164"/>
      <c r="G370" s="91"/>
      <c r="H370" s="91"/>
      <c r="I370" s="91"/>
      <c r="J370" s="91"/>
      <c r="K370" s="160"/>
      <c r="L370" s="160"/>
      <c r="M370" s="160"/>
      <c r="N370" s="160"/>
      <c r="O370" s="160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  <c r="AC370" s="91"/>
      <c r="AD370" s="91"/>
      <c r="AE370" s="91"/>
      <c r="AF370" s="91"/>
      <c r="AG370" s="91"/>
      <c r="AH370" s="91"/>
      <c r="AI370" s="91"/>
      <c r="AJ370" s="91"/>
      <c r="AK370" s="91"/>
      <c r="AL370" s="91"/>
      <c r="AM370" s="91"/>
      <c r="AN370" s="91"/>
    </row>
    <row r="371">
      <c r="A371" s="164"/>
      <c r="B371" s="165"/>
      <c r="C371" s="165"/>
      <c r="D371" s="164"/>
      <c r="E371" s="164"/>
      <c r="F371" s="164"/>
      <c r="G371" s="91"/>
      <c r="H371" s="91"/>
      <c r="I371" s="91"/>
      <c r="J371" s="91"/>
      <c r="K371" s="160"/>
      <c r="L371" s="160"/>
      <c r="M371" s="160"/>
      <c r="N371" s="160"/>
      <c r="O371" s="160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  <c r="AC371" s="91"/>
      <c r="AD371" s="91"/>
      <c r="AE371" s="91"/>
      <c r="AF371" s="91"/>
      <c r="AG371" s="91"/>
      <c r="AH371" s="91"/>
      <c r="AI371" s="91"/>
      <c r="AJ371" s="91"/>
      <c r="AK371" s="91"/>
      <c r="AL371" s="91"/>
      <c r="AM371" s="91"/>
      <c r="AN371" s="91"/>
    </row>
    <row r="372">
      <c r="A372" s="164"/>
      <c r="B372" s="165"/>
      <c r="C372" s="165"/>
      <c r="D372" s="164"/>
      <c r="E372" s="164"/>
      <c r="F372" s="164"/>
      <c r="G372" s="91"/>
      <c r="H372" s="91"/>
      <c r="I372" s="91"/>
      <c r="J372" s="91"/>
      <c r="K372" s="160"/>
      <c r="L372" s="160"/>
      <c r="M372" s="160"/>
      <c r="N372" s="160"/>
      <c r="O372" s="160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  <c r="AC372" s="91"/>
      <c r="AD372" s="91"/>
      <c r="AE372" s="91"/>
      <c r="AF372" s="91"/>
      <c r="AG372" s="91"/>
      <c r="AH372" s="91"/>
      <c r="AI372" s="91"/>
      <c r="AJ372" s="91"/>
      <c r="AK372" s="91"/>
      <c r="AL372" s="91"/>
      <c r="AM372" s="91"/>
      <c r="AN372" s="91"/>
    </row>
    <row r="373">
      <c r="A373" s="164"/>
      <c r="B373" s="165"/>
      <c r="C373" s="165"/>
      <c r="D373" s="164"/>
      <c r="E373" s="164"/>
      <c r="F373" s="164"/>
      <c r="G373" s="91"/>
      <c r="H373" s="91"/>
      <c r="I373" s="91"/>
      <c r="J373" s="91"/>
      <c r="K373" s="160"/>
      <c r="L373" s="160"/>
      <c r="M373" s="160"/>
      <c r="N373" s="160"/>
      <c r="O373" s="160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  <c r="AC373" s="91"/>
      <c r="AD373" s="91"/>
      <c r="AE373" s="91"/>
      <c r="AF373" s="91"/>
      <c r="AG373" s="91"/>
      <c r="AH373" s="91"/>
      <c r="AI373" s="91"/>
      <c r="AJ373" s="91"/>
      <c r="AK373" s="91"/>
      <c r="AL373" s="91"/>
      <c r="AM373" s="91"/>
      <c r="AN373" s="91"/>
    </row>
    <row r="374">
      <c r="A374" s="164"/>
      <c r="B374" s="165"/>
      <c r="C374" s="165"/>
      <c r="D374" s="164"/>
      <c r="E374" s="164"/>
      <c r="F374" s="164"/>
      <c r="G374" s="91"/>
      <c r="H374" s="91"/>
      <c r="I374" s="91"/>
      <c r="J374" s="91"/>
      <c r="K374" s="160"/>
      <c r="L374" s="160"/>
      <c r="M374" s="160"/>
      <c r="N374" s="160"/>
      <c r="O374" s="160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  <c r="AC374" s="91"/>
      <c r="AD374" s="91"/>
      <c r="AE374" s="91"/>
      <c r="AF374" s="91"/>
      <c r="AG374" s="91"/>
      <c r="AH374" s="91"/>
      <c r="AI374" s="91"/>
      <c r="AJ374" s="91"/>
      <c r="AK374" s="91"/>
      <c r="AL374" s="91"/>
      <c r="AM374" s="91"/>
      <c r="AN374" s="91"/>
    </row>
    <row r="375">
      <c r="A375" s="164"/>
      <c r="B375" s="165"/>
      <c r="C375" s="165"/>
      <c r="D375" s="164"/>
      <c r="E375" s="164"/>
      <c r="F375" s="164"/>
      <c r="G375" s="91"/>
      <c r="H375" s="91"/>
      <c r="I375" s="91"/>
      <c r="J375" s="91"/>
      <c r="K375" s="160"/>
      <c r="L375" s="160"/>
      <c r="M375" s="160"/>
      <c r="N375" s="160"/>
      <c r="O375" s="160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  <c r="AC375" s="91"/>
      <c r="AD375" s="91"/>
      <c r="AE375" s="91"/>
      <c r="AF375" s="91"/>
      <c r="AG375" s="91"/>
      <c r="AH375" s="91"/>
      <c r="AI375" s="91"/>
      <c r="AJ375" s="91"/>
      <c r="AK375" s="91"/>
      <c r="AL375" s="91"/>
      <c r="AM375" s="91"/>
      <c r="AN375" s="91"/>
    </row>
    <row r="376">
      <c r="A376" s="164"/>
      <c r="B376" s="165"/>
      <c r="C376" s="165"/>
      <c r="D376" s="164"/>
      <c r="E376" s="164"/>
      <c r="F376" s="164"/>
      <c r="G376" s="91"/>
      <c r="H376" s="91"/>
      <c r="I376" s="91"/>
      <c r="J376" s="91"/>
      <c r="K376" s="160"/>
      <c r="L376" s="160"/>
      <c r="M376" s="160"/>
      <c r="N376" s="160"/>
      <c r="O376" s="160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  <c r="AC376" s="91"/>
      <c r="AD376" s="91"/>
      <c r="AE376" s="91"/>
      <c r="AF376" s="91"/>
      <c r="AG376" s="91"/>
      <c r="AH376" s="91"/>
      <c r="AI376" s="91"/>
      <c r="AJ376" s="91"/>
      <c r="AK376" s="91"/>
      <c r="AL376" s="91"/>
      <c r="AM376" s="91"/>
      <c r="AN376" s="91"/>
    </row>
    <row r="377">
      <c r="A377" s="164"/>
      <c r="B377" s="165"/>
      <c r="C377" s="165"/>
      <c r="D377" s="164"/>
      <c r="E377" s="164"/>
      <c r="F377" s="164"/>
      <c r="G377" s="91"/>
      <c r="H377" s="91"/>
      <c r="I377" s="91"/>
      <c r="J377" s="91"/>
      <c r="K377" s="160"/>
      <c r="L377" s="160"/>
      <c r="M377" s="160"/>
      <c r="N377" s="160"/>
      <c r="O377" s="160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  <c r="AC377" s="91"/>
      <c r="AD377" s="91"/>
      <c r="AE377" s="91"/>
      <c r="AF377" s="91"/>
      <c r="AG377" s="91"/>
      <c r="AH377" s="91"/>
      <c r="AI377" s="91"/>
      <c r="AJ377" s="91"/>
      <c r="AK377" s="91"/>
      <c r="AL377" s="91"/>
      <c r="AM377" s="91"/>
      <c r="AN377" s="91"/>
    </row>
    <row r="378">
      <c r="A378" s="164"/>
      <c r="B378" s="165"/>
      <c r="C378" s="165"/>
      <c r="D378" s="164"/>
      <c r="E378" s="164"/>
      <c r="F378" s="164"/>
      <c r="G378" s="91"/>
      <c r="H378" s="91"/>
      <c r="I378" s="91"/>
      <c r="J378" s="91"/>
      <c r="K378" s="160"/>
      <c r="L378" s="160"/>
      <c r="M378" s="160"/>
      <c r="N378" s="160"/>
      <c r="O378" s="160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  <c r="AF378" s="91"/>
      <c r="AG378" s="91"/>
      <c r="AH378" s="91"/>
      <c r="AI378" s="91"/>
      <c r="AJ378" s="91"/>
      <c r="AK378" s="91"/>
      <c r="AL378" s="91"/>
      <c r="AM378" s="91"/>
      <c r="AN378" s="91"/>
    </row>
    <row r="379">
      <c r="A379" s="164"/>
      <c r="B379" s="165"/>
      <c r="C379" s="165"/>
      <c r="D379" s="164"/>
      <c r="E379" s="164"/>
      <c r="F379" s="164"/>
      <c r="G379" s="91"/>
      <c r="H379" s="91"/>
      <c r="I379" s="91"/>
      <c r="J379" s="91"/>
      <c r="K379" s="160"/>
      <c r="L379" s="160"/>
      <c r="M379" s="160"/>
      <c r="N379" s="160"/>
      <c r="O379" s="160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  <c r="AC379" s="91"/>
      <c r="AD379" s="91"/>
      <c r="AE379" s="91"/>
      <c r="AF379" s="91"/>
      <c r="AG379" s="91"/>
      <c r="AH379" s="91"/>
      <c r="AI379" s="91"/>
      <c r="AJ379" s="91"/>
      <c r="AK379" s="91"/>
      <c r="AL379" s="91"/>
      <c r="AM379" s="91"/>
      <c r="AN379" s="91"/>
    </row>
    <row r="380">
      <c r="A380" s="164"/>
      <c r="B380" s="165"/>
      <c r="C380" s="165"/>
      <c r="D380" s="164"/>
      <c r="E380" s="164"/>
      <c r="F380" s="164"/>
      <c r="G380" s="91"/>
      <c r="H380" s="91"/>
      <c r="I380" s="91"/>
      <c r="J380" s="91"/>
      <c r="K380" s="160"/>
      <c r="L380" s="160"/>
      <c r="M380" s="160"/>
      <c r="N380" s="160"/>
      <c r="O380" s="160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  <c r="AC380" s="91"/>
      <c r="AD380" s="91"/>
      <c r="AE380" s="91"/>
      <c r="AF380" s="91"/>
      <c r="AG380" s="91"/>
      <c r="AH380" s="91"/>
      <c r="AI380" s="91"/>
      <c r="AJ380" s="91"/>
      <c r="AK380" s="91"/>
      <c r="AL380" s="91"/>
      <c r="AM380" s="91"/>
      <c r="AN380" s="91"/>
    </row>
    <row r="381">
      <c r="A381" s="164"/>
      <c r="B381" s="165"/>
      <c r="C381" s="165"/>
      <c r="D381" s="164"/>
      <c r="E381" s="164"/>
      <c r="F381" s="164"/>
      <c r="G381" s="91"/>
      <c r="H381" s="91"/>
      <c r="I381" s="91"/>
      <c r="J381" s="91"/>
      <c r="K381" s="160"/>
      <c r="L381" s="160"/>
      <c r="M381" s="160"/>
      <c r="N381" s="160"/>
      <c r="O381" s="160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  <c r="AC381" s="91"/>
      <c r="AD381" s="91"/>
      <c r="AE381" s="91"/>
      <c r="AF381" s="91"/>
      <c r="AG381" s="91"/>
      <c r="AH381" s="91"/>
      <c r="AI381" s="91"/>
      <c r="AJ381" s="91"/>
      <c r="AK381" s="91"/>
      <c r="AL381" s="91"/>
      <c r="AM381" s="91"/>
      <c r="AN381" s="91"/>
    </row>
    <row r="382">
      <c r="A382" s="164"/>
      <c r="B382" s="165"/>
      <c r="C382" s="165"/>
      <c r="D382" s="164"/>
      <c r="E382" s="164"/>
      <c r="F382" s="164"/>
      <c r="G382" s="91"/>
      <c r="H382" s="91"/>
      <c r="I382" s="91"/>
      <c r="J382" s="91"/>
      <c r="K382" s="160"/>
      <c r="L382" s="160"/>
      <c r="M382" s="160"/>
      <c r="N382" s="160"/>
      <c r="O382" s="160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  <c r="AC382" s="91"/>
      <c r="AD382" s="91"/>
      <c r="AE382" s="91"/>
      <c r="AF382" s="91"/>
      <c r="AG382" s="91"/>
      <c r="AH382" s="91"/>
      <c r="AI382" s="91"/>
      <c r="AJ382" s="91"/>
      <c r="AK382" s="91"/>
      <c r="AL382" s="91"/>
      <c r="AM382" s="91"/>
      <c r="AN382" s="91"/>
    </row>
    <row r="383">
      <c r="A383" s="164"/>
      <c r="B383" s="165"/>
      <c r="C383" s="165"/>
      <c r="D383" s="164"/>
      <c r="E383" s="164"/>
      <c r="F383" s="164"/>
      <c r="G383" s="91"/>
      <c r="H383" s="91"/>
      <c r="I383" s="91"/>
      <c r="J383" s="91"/>
      <c r="K383" s="160"/>
      <c r="L383" s="160"/>
      <c r="M383" s="160"/>
      <c r="N383" s="160"/>
      <c r="O383" s="160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  <c r="AC383" s="91"/>
      <c r="AD383" s="91"/>
      <c r="AE383" s="91"/>
      <c r="AF383" s="91"/>
      <c r="AG383" s="91"/>
      <c r="AH383" s="91"/>
      <c r="AI383" s="91"/>
      <c r="AJ383" s="91"/>
      <c r="AK383" s="91"/>
      <c r="AL383" s="91"/>
      <c r="AM383" s="91"/>
      <c r="AN383" s="91"/>
    </row>
    <row r="384">
      <c r="A384" s="164"/>
      <c r="B384" s="165"/>
      <c r="C384" s="165"/>
      <c r="D384" s="164"/>
      <c r="E384" s="164"/>
      <c r="F384" s="164"/>
      <c r="G384" s="91"/>
      <c r="H384" s="91"/>
      <c r="I384" s="91"/>
      <c r="J384" s="91"/>
      <c r="K384" s="160"/>
      <c r="L384" s="160"/>
      <c r="M384" s="160"/>
      <c r="N384" s="160"/>
      <c r="O384" s="160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  <c r="AC384" s="91"/>
      <c r="AD384" s="91"/>
      <c r="AE384" s="91"/>
      <c r="AF384" s="91"/>
      <c r="AG384" s="91"/>
      <c r="AH384" s="91"/>
      <c r="AI384" s="91"/>
      <c r="AJ384" s="91"/>
      <c r="AK384" s="91"/>
      <c r="AL384" s="91"/>
      <c r="AM384" s="91"/>
      <c r="AN384" s="91"/>
    </row>
    <row r="385">
      <c r="A385" s="164"/>
      <c r="B385" s="165"/>
      <c r="C385" s="165"/>
      <c r="D385" s="164"/>
      <c r="E385" s="164"/>
      <c r="F385" s="164"/>
      <c r="G385" s="91"/>
      <c r="H385" s="91"/>
      <c r="I385" s="91"/>
      <c r="J385" s="91"/>
      <c r="K385" s="160"/>
      <c r="L385" s="160"/>
      <c r="M385" s="160"/>
      <c r="N385" s="160"/>
      <c r="O385" s="160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  <c r="AC385" s="91"/>
      <c r="AD385" s="91"/>
      <c r="AE385" s="91"/>
      <c r="AF385" s="91"/>
      <c r="AG385" s="91"/>
      <c r="AH385" s="91"/>
      <c r="AI385" s="91"/>
      <c r="AJ385" s="91"/>
      <c r="AK385" s="91"/>
      <c r="AL385" s="91"/>
      <c r="AM385" s="91"/>
      <c r="AN385" s="91"/>
    </row>
    <row r="386">
      <c r="A386" s="164"/>
      <c r="B386" s="165"/>
      <c r="C386" s="165"/>
      <c r="D386" s="164"/>
      <c r="E386" s="164"/>
      <c r="F386" s="164"/>
      <c r="G386" s="91"/>
      <c r="H386" s="91"/>
      <c r="I386" s="91"/>
      <c r="J386" s="91"/>
      <c r="K386" s="160"/>
      <c r="L386" s="160"/>
      <c r="M386" s="160"/>
      <c r="N386" s="160"/>
      <c r="O386" s="160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  <c r="AC386" s="91"/>
      <c r="AD386" s="91"/>
      <c r="AE386" s="91"/>
      <c r="AF386" s="91"/>
      <c r="AG386" s="91"/>
      <c r="AH386" s="91"/>
      <c r="AI386" s="91"/>
      <c r="AJ386" s="91"/>
      <c r="AK386" s="91"/>
      <c r="AL386" s="91"/>
      <c r="AM386" s="91"/>
      <c r="AN386" s="91"/>
    </row>
    <row r="387">
      <c r="A387" s="164"/>
      <c r="B387" s="165"/>
      <c r="C387" s="165"/>
      <c r="D387" s="164"/>
      <c r="E387" s="164"/>
      <c r="F387" s="164"/>
      <c r="G387" s="91"/>
      <c r="H387" s="91"/>
      <c r="I387" s="91"/>
      <c r="J387" s="91"/>
      <c r="K387" s="160"/>
      <c r="L387" s="160"/>
      <c r="M387" s="160"/>
      <c r="N387" s="160"/>
      <c r="O387" s="160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  <c r="AC387" s="91"/>
      <c r="AD387" s="91"/>
      <c r="AE387" s="91"/>
      <c r="AF387" s="91"/>
      <c r="AG387" s="91"/>
      <c r="AH387" s="91"/>
      <c r="AI387" s="91"/>
      <c r="AJ387" s="91"/>
      <c r="AK387" s="91"/>
      <c r="AL387" s="91"/>
      <c r="AM387" s="91"/>
      <c r="AN387" s="91"/>
    </row>
    <row r="388">
      <c r="A388" s="164"/>
      <c r="B388" s="165"/>
      <c r="C388" s="165"/>
      <c r="D388" s="164"/>
      <c r="E388" s="164"/>
      <c r="F388" s="164"/>
      <c r="G388" s="91"/>
      <c r="H388" s="91"/>
      <c r="I388" s="91"/>
      <c r="J388" s="91"/>
      <c r="K388" s="160"/>
      <c r="L388" s="160"/>
      <c r="M388" s="160"/>
      <c r="N388" s="160"/>
      <c r="O388" s="160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  <c r="AC388" s="91"/>
      <c r="AD388" s="91"/>
      <c r="AE388" s="91"/>
      <c r="AF388" s="91"/>
      <c r="AG388" s="91"/>
      <c r="AH388" s="91"/>
      <c r="AI388" s="91"/>
      <c r="AJ388" s="91"/>
      <c r="AK388" s="91"/>
      <c r="AL388" s="91"/>
      <c r="AM388" s="91"/>
      <c r="AN388" s="91"/>
    </row>
    <row r="389">
      <c r="A389" s="164"/>
      <c r="B389" s="165"/>
      <c r="C389" s="165"/>
      <c r="D389" s="164"/>
      <c r="E389" s="164"/>
      <c r="F389" s="164"/>
      <c r="G389" s="91"/>
      <c r="H389" s="91"/>
      <c r="I389" s="91"/>
      <c r="J389" s="91"/>
      <c r="K389" s="160"/>
      <c r="L389" s="160"/>
      <c r="M389" s="160"/>
      <c r="N389" s="160"/>
      <c r="O389" s="160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  <c r="AC389" s="91"/>
      <c r="AD389" s="91"/>
      <c r="AE389" s="91"/>
      <c r="AF389" s="91"/>
      <c r="AG389" s="91"/>
      <c r="AH389" s="91"/>
      <c r="AI389" s="91"/>
      <c r="AJ389" s="91"/>
      <c r="AK389" s="91"/>
      <c r="AL389" s="91"/>
      <c r="AM389" s="91"/>
      <c r="AN389" s="91"/>
    </row>
    <row r="390">
      <c r="A390" s="164"/>
      <c r="B390" s="165"/>
      <c r="C390" s="165"/>
      <c r="D390" s="164"/>
      <c r="E390" s="164"/>
      <c r="F390" s="164"/>
      <c r="G390" s="91"/>
      <c r="H390" s="91"/>
      <c r="I390" s="91"/>
      <c r="J390" s="91"/>
      <c r="K390" s="160"/>
      <c r="L390" s="160"/>
      <c r="M390" s="160"/>
      <c r="N390" s="160"/>
      <c r="O390" s="160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  <c r="AC390" s="91"/>
      <c r="AD390" s="91"/>
      <c r="AE390" s="91"/>
      <c r="AF390" s="91"/>
      <c r="AG390" s="91"/>
      <c r="AH390" s="91"/>
      <c r="AI390" s="91"/>
      <c r="AJ390" s="91"/>
      <c r="AK390" s="91"/>
      <c r="AL390" s="91"/>
      <c r="AM390" s="91"/>
      <c r="AN390" s="91"/>
    </row>
    <row r="391">
      <c r="A391" s="164"/>
      <c r="B391" s="165"/>
      <c r="C391" s="165"/>
      <c r="D391" s="164"/>
      <c r="E391" s="164"/>
      <c r="F391" s="164"/>
      <c r="G391" s="91"/>
      <c r="H391" s="91"/>
      <c r="I391" s="91"/>
      <c r="J391" s="91"/>
      <c r="K391" s="160"/>
      <c r="L391" s="160"/>
      <c r="M391" s="160"/>
      <c r="N391" s="160"/>
      <c r="O391" s="160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  <c r="AC391" s="91"/>
      <c r="AD391" s="91"/>
      <c r="AE391" s="91"/>
      <c r="AF391" s="91"/>
      <c r="AG391" s="91"/>
      <c r="AH391" s="91"/>
      <c r="AI391" s="91"/>
      <c r="AJ391" s="91"/>
      <c r="AK391" s="91"/>
      <c r="AL391" s="91"/>
      <c r="AM391" s="91"/>
      <c r="AN391" s="91"/>
    </row>
    <row r="392">
      <c r="A392" s="164"/>
      <c r="B392" s="165"/>
      <c r="C392" s="165"/>
      <c r="D392" s="164"/>
      <c r="E392" s="164"/>
      <c r="F392" s="164"/>
      <c r="G392" s="91"/>
      <c r="H392" s="91"/>
      <c r="I392" s="91"/>
      <c r="J392" s="91"/>
      <c r="K392" s="160"/>
      <c r="L392" s="160"/>
      <c r="M392" s="160"/>
      <c r="N392" s="160"/>
      <c r="O392" s="160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  <c r="AC392" s="91"/>
      <c r="AD392" s="91"/>
      <c r="AE392" s="91"/>
      <c r="AF392" s="91"/>
      <c r="AG392" s="91"/>
      <c r="AH392" s="91"/>
      <c r="AI392" s="91"/>
      <c r="AJ392" s="91"/>
      <c r="AK392" s="91"/>
      <c r="AL392" s="91"/>
      <c r="AM392" s="91"/>
      <c r="AN392" s="91"/>
    </row>
    <row r="393">
      <c r="A393" s="164"/>
      <c r="B393" s="165"/>
      <c r="C393" s="165"/>
      <c r="D393" s="164"/>
      <c r="E393" s="164"/>
      <c r="F393" s="164"/>
      <c r="G393" s="91"/>
      <c r="H393" s="91"/>
      <c r="I393" s="91"/>
      <c r="J393" s="91"/>
      <c r="K393" s="160"/>
      <c r="L393" s="160"/>
      <c r="M393" s="160"/>
      <c r="N393" s="160"/>
      <c r="O393" s="160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  <c r="AC393" s="91"/>
      <c r="AD393" s="91"/>
      <c r="AE393" s="91"/>
      <c r="AF393" s="91"/>
      <c r="AG393" s="91"/>
      <c r="AH393" s="91"/>
      <c r="AI393" s="91"/>
      <c r="AJ393" s="91"/>
      <c r="AK393" s="91"/>
      <c r="AL393" s="91"/>
      <c r="AM393" s="91"/>
      <c r="AN393" s="91"/>
    </row>
    <row r="394">
      <c r="A394" s="164"/>
      <c r="B394" s="165"/>
      <c r="C394" s="165"/>
      <c r="D394" s="164"/>
      <c r="E394" s="164"/>
      <c r="F394" s="164"/>
      <c r="G394" s="91"/>
      <c r="H394" s="91"/>
      <c r="I394" s="91"/>
      <c r="J394" s="91"/>
      <c r="K394" s="160"/>
      <c r="L394" s="160"/>
      <c r="M394" s="160"/>
      <c r="N394" s="160"/>
      <c r="O394" s="160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  <c r="AC394" s="91"/>
      <c r="AD394" s="91"/>
      <c r="AE394" s="91"/>
      <c r="AF394" s="91"/>
      <c r="AG394" s="91"/>
      <c r="AH394" s="91"/>
      <c r="AI394" s="91"/>
      <c r="AJ394" s="91"/>
      <c r="AK394" s="91"/>
      <c r="AL394" s="91"/>
      <c r="AM394" s="91"/>
      <c r="AN394" s="91"/>
    </row>
    <row r="395">
      <c r="A395" s="164"/>
      <c r="B395" s="165"/>
      <c r="C395" s="165"/>
      <c r="D395" s="164"/>
      <c r="E395" s="164"/>
      <c r="F395" s="164"/>
      <c r="G395" s="91"/>
      <c r="H395" s="91"/>
      <c r="I395" s="91"/>
      <c r="J395" s="91"/>
      <c r="K395" s="160"/>
      <c r="L395" s="160"/>
      <c r="M395" s="160"/>
      <c r="N395" s="160"/>
      <c r="O395" s="160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  <c r="AC395" s="91"/>
      <c r="AD395" s="91"/>
      <c r="AE395" s="91"/>
      <c r="AF395" s="91"/>
      <c r="AG395" s="91"/>
      <c r="AH395" s="91"/>
      <c r="AI395" s="91"/>
      <c r="AJ395" s="91"/>
      <c r="AK395" s="91"/>
      <c r="AL395" s="91"/>
      <c r="AM395" s="91"/>
      <c r="AN395" s="91"/>
    </row>
    <row r="396">
      <c r="A396" s="164"/>
      <c r="B396" s="165"/>
      <c r="C396" s="165"/>
      <c r="D396" s="164"/>
      <c r="E396" s="164"/>
      <c r="F396" s="164"/>
      <c r="G396" s="91"/>
      <c r="H396" s="91"/>
      <c r="I396" s="91"/>
      <c r="J396" s="91"/>
      <c r="K396" s="160"/>
      <c r="L396" s="160"/>
      <c r="M396" s="160"/>
      <c r="N396" s="160"/>
      <c r="O396" s="160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  <c r="AC396" s="91"/>
      <c r="AD396" s="91"/>
      <c r="AE396" s="91"/>
      <c r="AF396" s="91"/>
      <c r="AG396" s="91"/>
      <c r="AH396" s="91"/>
      <c r="AI396" s="91"/>
      <c r="AJ396" s="91"/>
      <c r="AK396" s="91"/>
      <c r="AL396" s="91"/>
      <c r="AM396" s="91"/>
      <c r="AN396" s="91"/>
    </row>
    <row r="397">
      <c r="A397" s="164"/>
      <c r="B397" s="165"/>
      <c r="C397" s="165"/>
      <c r="D397" s="164"/>
      <c r="E397" s="164"/>
      <c r="F397" s="164"/>
      <c r="G397" s="91"/>
      <c r="H397" s="91"/>
      <c r="I397" s="91"/>
      <c r="J397" s="91"/>
      <c r="K397" s="160"/>
      <c r="L397" s="160"/>
      <c r="M397" s="160"/>
      <c r="N397" s="160"/>
      <c r="O397" s="160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91"/>
      <c r="AD397" s="91"/>
      <c r="AE397" s="91"/>
      <c r="AF397" s="91"/>
      <c r="AG397" s="91"/>
      <c r="AH397" s="91"/>
      <c r="AI397" s="91"/>
      <c r="AJ397" s="91"/>
      <c r="AK397" s="91"/>
      <c r="AL397" s="91"/>
      <c r="AM397" s="91"/>
      <c r="AN397" s="91"/>
    </row>
    <row r="398">
      <c r="A398" s="164"/>
      <c r="B398" s="165"/>
      <c r="C398" s="165"/>
      <c r="D398" s="164"/>
      <c r="E398" s="164"/>
      <c r="F398" s="164"/>
      <c r="G398" s="91"/>
      <c r="H398" s="91"/>
      <c r="I398" s="91"/>
      <c r="J398" s="91"/>
      <c r="K398" s="160"/>
      <c r="L398" s="160"/>
      <c r="M398" s="160"/>
      <c r="N398" s="160"/>
      <c r="O398" s="160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  <c r="AC398" s="91"/>
      <c r="AD398" s="91"/>
      <c r="AE398" s="91"/>
      <c r="AF398" s="91"/>
      <c r="AG398" s="91"/>
      <c r="AH398" s="91"/>
      <c r="AI398" s="91"/>
      <c r="AJ398" s="91"/>
      <c r="AK398" s="91"/>
      <c r="AL398" s="91"/>
      <c r="AM398" s="91"/>
      <c r="AN398" s="91"/>
    </row>
    <row r="399">
      <c r="A399" s="164"/>
      <c r="B399" s="165"/>
      <c r="C399" s="165"/>
      <c r="D399" s="164"/>
      <c r="E399" s="164"/>
      <c r="F399" s="164"/>
      <c r="G399" s="91"/>
      <c r="H399" s="91"/>
      <c r="I399" s="91"/>
      <c r="J399" s="91"/>
      <c r="K399" s="160"/>
      <c r="L399" s="160"/>
      <c r="M399" s="160"/>
      <c r="N399" s="160"/>
      <c r="O399" s="160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91"/>
      <c r="AD399" s="91"/>
      <c r="AE399" s="91"/>
      <c r="AF399" s="91"/>
      <c r="AG399" s="91"/>
      <c r="AH399" s="91"/>
      <c r="AI399" s="91"/>
      <c r="AJ399" s="91"/>
      <c r="AK399" s="91"/>
      <c r="AL399" s="91"/>
      <c r="AM399" s="91"/>
      <c r="AN399" s="91"/>
    </row>
    <row r="400">
      <c r="A400" s="164"/>
      <c r="B400" s="165"/>
      <c r="C400" s="165"/>
      <c r="D400" s="164"/>
      <c r="E400" s="164"/>
      <c r="F400" s="164"/>
      <c r="G400" s="91"/>
      <c r="H400" s="91"/>
      <c r="I400" s="91"/>
      <c r="J400" s="91"/>
      <c r="K400" s="160"/>
      <c r="L400" s="160"/>
      <c r="M400" s="160"/>
      <c r="N400" s="160"/>
      <c r="O400" s="160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  <c r="AC400" s="91"/>
      <c r="AD400" s="91"/>
      <c r="AE400" s="91"/>
      <c r="AF400" s="91"/>
      <c r="AG400" s="91"/>
      <c r="AH400" s="91"/>
      <c r="AI400" s="91"/>
      <c r="AJ400" s="91"/>
      <c r="AK400" s="91"/>
      <c r="AL400" s="91"/>
      <c r="AM400" s="91"/>
      <c r="AN400" s="91"/>
    </row>
    <row r="401">
      <c r="A401" s="164"/>
      <c r="B401" s="165"/>
      <c r="C401" s="165"/>
      <c r="D401" s="164"/>
      <c r="E401" s="164"/>
      <c r="F401" s="164"/>
      <c r="G401" s="91"/>
      <c r="H401" s="91"/>
      <c r="I401" s="91"/>
      <c r="J401" s="91"/>
      <c r="K401" s="160"/>
      <c r="L401" s="160"/>
      <c r="M401" s="160"/>
      <c r="N401" s="160"/>
      <c r="O401" s="160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  <c r="AC401" s="91"/>
      <c r="AD401" s="91"/>
      <c r="AE401" s="91"/>
      <c r="AF401" s="91"/>
      <c r="AG401" s="91"/>
      <c r="AH401" s="91"/>
      <c r="AI401" s="91"/>
      <c r="AJ401" s="91"/>
      <c r="AK401" s="91"/>
      <c r="AL401" s="91"/>
      <c r="AM401" s="91"/>
      <c r="AN401" s="91"/>
    </row>
    <row r="402">
      <c r="A402" s="164"/>
      <c r="B402" s="165"/>
      <c r="C402" s="165"/>
      <c r="D402" s="164"/>
      <c r="E402" s="164"/>
      <c r="F402" s="164"/>
      <c r="G402" s="91"/>
      <c r="H402" s="91"/>
      <c r="I402" s="91"/>
      <c r="J402" s="91"/>
      <c r="K402" s="160"/>
      <c r="L402" s="160"/>
      <c r="M402" s="160"/>
      <c r="N402" s="160"/>
      <c r="O402" s="160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  <c r="AC402" s="91"/>
      <c r="AD402" s="91"/>
      <c r="AE402" s="91"/>
      <c r="AF402" s="91"/>
      <c r="AG402" s="91"/>
      <c r="AH402" s="91"/>
      <c r="AI402" s="91"/>
      <c r="AJ402" s="91"/>
      <c r="AK402" s="91"/>
      <c r="AL402" s="91"/>
      <c r="AM402" s="91"/>
      <c r="AN402" s="91"/>
    </row>
    <row r="403">
      <c r="A403" s="164"/>
      <c r="B403" s="165"/>
      <c r="C403" s="165"/>
      <c r="D403" s="164"/>
      <c r="E403" s="164"/>
      <c r="F403" s="164"/>
      <c r="G403" s="91"/>
      <c r="H403" s="91"/>
      <c r="I403" s="91"/>
      <c r="J403" s="91"/>
      <c r="K403" s="160"/>
      <c r="L403" s="160"/>
      <c r="M403" s="160"/>
      <c r="N403" s="160"/>
      <c r="O403" s="160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  <c r="AC403" s="91"/>
      <c r="AD403" s="91"/>
      <c r="AE403" s="91"/>
      <c r="AF403" s="91"/>
      <c r="AG403" s="91"/>
      <c r="AH403" s="91"/>
      <c r="AI403" s="91"/>
      <c r="AJ403" s="91"/>
      <c r="AK403" s="91"/>
      <c r="AL403" s="91"/>
      <c r="AM403" s="91"/>
      <c r="AN403" s="91"/>
    </row>
    <row r="404">
      <c r="A404" s="164"/>
      <c r="B404" s="165"/>
      <c r="C404" s="165"/>
      <c r="D404" s="164"/>
      <c r="E404" s="164"/>
      <c r="F404" s="164"/>
      <c r="G404" s="91"/>
      <c r="H404" s="91"/>
      <c r="I404" s="91"/>
      <c r="J404" s="91"/>
      <c r="K404" s="160"/>
      <c r="L404" s="160"/>
      <c r="M404" s="160"/>
      <c r="N404" s="160"/>
      <c r="O404" s="160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  <c r="AC404" s="91"/>
      <c r="AD404" s="91"/>
      <c r="AE404" s="91"/>
      <c r="AF404" s="91"/>
      <c r="AG404" s="91"/>
      <c r="AH404" s="91"/>
      <c r="AI404" s="91"/>
      <c r="AJ404" s="91"/>
      <c r="AK404" s="91"/>
      <c r="AL404" s="91"/>
      <c r="AM404" s="91"/>
      <c r="AN404" s="91"/>
    </row>
    <row r="405">
      <c r="A405" s="164"/>
      <c r="B405" s="165"/>
      <c r="C405" s="165"/>
      <c r="D405" s="164"/>
      <c r="E405" s="164"/>
      <c r="F405" s="164"/>
      <c r="G405" s="91"/>
      <c r="H405" s="91"/>
      <c r="I405" s="91"/>
      <c r="J405" s="91"/>
      <c r="K405" s="160"/>
      <c r="L405" s="160"/>
      <c r="M405" s="160"/>
      <c r="N405" s="160"/>
      <c r="O405" s="160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  <c r="AC405" s="91"/>
      <c r="AD405" s="91"/>
      <c r="AE405" s="91"/>
      <c r="AF405" s="91"/>
      <c r="AG405" s="91"/>
      <c r="AH405" s="91"/>
      <c r="AI405" s="91"/>
      <c r="AJ405" s="91"/>
      <c r="AK405" s="91"/>
      <c r="AL405" s="91"/>
      <c r="AM405" s="91"/>
      <c r="AN405" s="91"/>
    </row>
    <row r="406">
      <c r="A406" s="164"/>
      <c r="B406" s="165"/>
      <c r="C406" s="165"/>
      <c r="D406" s="164"/>
      <c r="E406" s="164"/>
      <c r="F406" s="164"/>
      <c r="G406" s="91"/>
      <c r="H406" s="91"/>
      <c r="I406" s="91"/>
      <c r="J406" s="91"/>
      <c r="K406" s="160"/>
      <c r="L406" s="160"/>
      <c r="M406" s="160"/>
      <c r="N406" s="160"/>
      <c r="O406" s="160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  <c r="AC406" s="91"/>
      <c r="AD406" s="91"/>
      <c r="AE406" s="91"/>
      <c r="AF406" s="91"/>
      <c r="AG406" s="91"/>
      <c r="AH406" s="91"/>
      <c r="AI406" s="91"/>
      <c r="AJ406" s="91"/>
      <c r="AK406" s="91"/>
      <c r="AL406" s="91"/>
      <c r="AM406" s="91"/>
      <c r="AN406" s="91"/>
    </row>
    <row r="407">
      <c r="A407" s="164"/>
      <c r="B407" s="165"/>
      <c r="C407" s="165"/>
      <c r="D407" s="164"/>
      <c r="E407" s="164"/>
      <c r="F407" s="164"/>
      <c r="G407" s="91"/>
      <c r="H407" s="91"/>
      <c r="I407" s="91"/>
      <c r="J407" s="91"/>
      <c r="K407" s="160"/>
      <c r="L407" s="160"/>
      <c r="M407" s="160"/>
      <c r="N407" s="160"/>
      <c r="O407" s="160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  <c r="AC407" s="91"/>
      <c r="AD407" s="91"/>
      <c r="AE407" s="91"/>
      <c r="AF407" s="91"/>
      <c r="AG407" s="91"/>
      <c r="AH407" s="91"/>
      <c r="AI407" s="91"/>
      <c r="AJ407" s="91"/>
      <c r="AK407" s="91"/>
      <c r="AL407" s="91"/>
      <c r="AM407" s="91"/>
      <c r="AN407" s="91"/>
    </row>
    <row r="408">
      <c r="A408" s="164"/>
      <c r="B408" s="165"/>
      <c r="C408" s="165"/>
      <c r="D408" s="164"/>
      <c r="E408" s="164"/>
      <c r="F408" s="164"/>
      <c r="G408" s="91"/>
      <c r="H408" s="91"/>
      <c r="I408" s="91"/>
      <c r="J408" s="91"/>
      <c r="K408" s="160"/>
      <c r="L408" s="160"/>
      <c r="M408" s="160"/>
      <c r="N408" s="160"/>
      <c r="O408" s="160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  <c r="AC408" s="91"/>
      <c r="AD408" s="91"/>
      <c r="AE408" s="91"/>
      <c r="AF408" s="91"/>
      <c r="AG408" s="91"/>
      <c r="AH408" s="91"/>
      <c r="AI408" s="91"/>
      <c r="AJ408" s="91"/>
      <c r="AK408" s="91"/>
      <c r="AL408" s="91"/>
      <c r="AM408" s="91"/>
      <c r="AN408" s="91"/>
    </row>
    <row r="409">
      <c r="A409" s="164"/>
      <c r="B409" s="165"/>
      <c r="C409" s="165"/>
      <c r="D409" s="164"/>
      <c r="E409" s="164"/>
      <c r="F409" s="164"/>
      <c r="G409" s="91"/>
      <c r="H409" s="91"/>
      <c r="I409" s="91"/>
      <c r="J409" s="91"/>
      <c r="K409" s="160"/>
      <c r="L409" s="160"/>
      <c r="M409" s="160"/>
      <c r="N409" s="160"/>
      <c r="O409" s="160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  <c r="AC409" s="91"/>
      <c r="AD409" s="91"/>
      <c r="AE409" s="91"/>
      <c r="AF409" s="91"/>
      <c r="AG409" s="91"/>
      <c r="AH409" s="91"/>
      <c r="AI409" s="91"/>
      <c r="AJ409" s="91"/>
      <c r="AK409" s="91"/>
      <c r="AL409" s="91"/>
      <c r="AM409" s="91"/>
      <c r="AN409" s="91"/>
    </row>
    <row r="410">
      <c r="A410" s="164"/>
      <c r="B410" s="165"/>
      <c r="C410" s="165"/>
      <c r="D410" s="164"/>
      <c r="E410" s="164"/>
      <c r="F410" s="164"/>
      <c r="G410" s="91"/>
      <c r="H410" s="91"/>
      <c r="I410" s="91"/>
      <c r="J410" s="91"/>
      <c r="K410" s="160"/>
      <c r="L410" s="160"/>
      <c r="M410" s="160"/>
      <c r="N410" s="160"/>
      <c r="O410" s="160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  <c r="AC410" s="91"/>
      <c r="AD410" s="91"/>
      <c r="AE410" s="91"/>
      <c r="AF410" s="91"/>
      <c r="AG410" s="91"/>
      <c r="AH410" s="91"/>
      <c r="AI410" s="91"/>
      <c r="AJ410" s="91"/>
      <c r="AK410" s="91"/>
      <c r="AL410" s="91"/>
      <c r="AM410" s="91"/>
      <c r="AN410" s="91"/>
    </row>
    <row r="411">
      <c r="A411" s="164"/>
      <c r="B411" s="165"/>
      <c r="C411" s="165"/>
      <c r="D411" s="164"/>
      <c r="E411" s="164"/>
      <c r="F411" s="164"/>
      <c r="G411" s="91"/>
      <c r="H411" s="91"/>
      <c r="I411" s="91"/>
      <c r="J411" s="91"/>
      <c r="K411" s="160"/>
      <c r="L411" s="160"/>
      <c r="M411" s="160"/>
      <c r="N411" s="160"/>
      <c r="O411" s="160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  <c r="AC411" s="91"/>
      <c r="AD411" s="91"/>
      <c r="AE411" s="91"/>
      <c r="AF411" s="91"/>
      <c r="AG411" s="91"/>
      <c r="AH411" s="91"/>
      <c r="AI411" s="91"/>
      <c r="AJ411" s="91"/>
      <c r="AK411" s="91"/>
      <c r="AL411" s="91"/>
      <c r="AM411" s="91"/>
      <c r="AN411" s="91"/>
    </row>
    <row r="412">
      <c r="A412" s="164"/>
      <c r="B412" s="165"/>
      <c r="C412" s="165"/>
      <c r="D412" s="164"/>
      <c r="E412" s="164"/>
      <c r="F412" s="164"/>
      <c r="G412" s="91"/>
      <c r="H412" s="91"/>
      <c r="I412" s="91"/>
      <c r="J412" s="91"/>
      <c r="K412" s="160"/>
      <c r="L412" s="160"/>
      <c r="M412" s="160"/>
      <c r="N412" s="160"/>
      <c r="O412" s="160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  <c r="AC412" s="91"/>
      <c r="AD412" s="91"/>
      <c r="AE412" s="91"/>
      <c r="AF412" s="91"/>
      <c r="AG412" s="91"/>
      <c r="AH412" s="91"/>
      <c r="AI412" s="91"/>
      <c r="AJ412" s="91"/>
      <c r="AK412" s="91"/>
      <c r="AL412" s="91"/>
      <c r="AM412" s="91"/>
      <c r="AN412" s="91"/>
    </row>
    <row r="413">
      <c r="A413" s="164"/>
      <c r="B413" s="165"/>
      <c r="C413" s="165"/>
      <c r="D413" s="164"/>
      <c r="E413" s="164"/>
      <c r="F413" s="164"/>
      <c r="G413" s="91"/>
      <c r="H413" s="91"/>
      <c r="I413" s="91"/>
      <c r="J413" s="91"/>
      <c r="K413" s="160"/>
      <c r="L413" s="160"/>
      <c r="M413" s="160"/>
      <c r="N413" s="160"/>
      <c r="O413" s="160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  <c r="AC413" s="91"/>
      <c r="AD413" s="91"/>
      <c r="AE413" s="91"/>
      <c r="AF413" s="91"/>
      <c r="AG413" s="91"/>
      <c r="AH413" s="91"/>
      <c r="AI413" s="91"/>
      <c r="AJ413" s="91"/>
      <c r="AK413" s="91"/>
      <c r="AL413" s="91"/>
      <c r="AM413" s="91"/>
      <c r="AN413" s="91"/>
    </row>
    <row r="414">
      <c r="A414" s="164"/>
      <c r="B414" s="165"/>
      <c r="C414" s="165"/>
      <c r="D414" s="164"/>
      <c r="E414" s="164"/>
      <c r="F414" s="164"/>
      <c r="G414" s="91"/>
      <c r="H414" s="91"/>
      <c r="I414" s="91"/>
      <c r="J414" s="91"/>
      <c r="K414" s="160"/>
      <c r="L414" s="160"/>
      <c r="M414" s="160"/>
      <c r="N414" s="160"/>
      <c r="O414" s="160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  <c r="AC414" s="91"/>
      <c r="AD414" s="91"/>
      <c r="AE414" s="91"/>
      <c r="AF414" s="91"/>
      <c r="AG414" s="91"/>
      <c r="AH414" s="91"/>
      <c r="AI414" s="91"/>
      <c r="AJ414" s="91"/>
      <c r="AK414" s="91"/>
      <c r="AL414" s="91"/>
      <c r="AM414" s="91"/>
      <c r="AN414" s="91"/>
    </row>
    <row r="415">
      <c r="A415" s="164"/>
      <c r="B415" s="165"/>
      <c r="C415" s="165"/>
      <c r="D415" s="164"/>
      <c r="E415" s="164"/>
      <c r="F415" s="164"/>
      <c r="G415" s="91"/>
      <c r="H415" s="91"/>
      <c r="I415" s="91"/>
      <c r="J415" s="91"/>
      <c r="K415" s="160"/>
      <c r="L415" s="160"/>
      <c r="M415" s="160"/>
      <c r="N415" s="160"/>
      <c r="O415" s="160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  <c r="AC415" s="91"/>
      <c r="AD415" s="91"/>
      <c r="AE415" s="91"/>
      <c r="AF415" s="91"/>
      <c r="AG415" s="91"/>
      <c r="AH415" s="91"/>
      <c r="AI415" s="91"/>
      <c r="AJ415" s="91"/>
      <c r="AK415" s="91"/>
      <c r="AL415" s="91"/>
      <c r="AM415" s="91"/>
      <c r="AN415" s="91"/>
    </row>
    <row r="416">
      <c r="A416" s="164"/>
      <c r="B416" s="165"/>
      <c r="C416" s="165"/>
      <c r="D416" s="164"/>
      <c r="E416" s="164"/>
      <c r="F416" s="164"/>
      <c r="G416" s="91"/>
      <c r="H416" s="91"/>
      <c r="I416" s="91"/>
      <c r="J416" s="91"/>
      <c r="K416" s="160"/>
      <c r="L416" s="160"/>
      <c r="M416" s="160"/>
      <c r="N416" s="160"/>
      <c r="O416" s="160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  <c r="AC416" s="91"/>
      <c r="AD416" s="91"/>
      <c r="AE416" s="91"/>
      <c r="AF416" s="91"/>
      <c r="AG416" s="91"/>
      <c r="AH416" s="91"/>
      <c r="AI416" s="91"/>
      <c r="AJ416" s="91"/>
      <c r="AK416" s="91"/>
      <c r="AL416" s="91"/>
      <c r="AM416" s="91"/>
      <c r="AN416" s="91"/>
    </row>
    <row r="417">
      <c r="A417" s="164"/>
      <c r="B417" s="165"/>
      <c r="C417" s="165"/>
      <c r="D417" s="164"/>
      <c r="E417" s="164"/>
      <c r="F417" s="164"/>
      <c r="G417" s="91"/>
      <c r="H417" s="91"/>
      <c r="I417" s="91"/>
      <c r="J417" s="91"/>
      <c r="K417" s="160"/>
      <c r="L417" s="160"/>
      <c r="M417" s="160"/>
      <c r="N417" s="160"/>
      <c r="O417" s="160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  <c r="AC417" s="91"/>
      <c r="AD417" s="91"/>
      <c r="AE417" s="91"/>
      <c r="AF417" s="91"/>
      <c r="AG417" s="91"/>
      <c r="AH417" s="91"/>
      <c r="AI417" s="91"/>
      <c r="AJ417" s="91"/>
      <c r="AK417" s="91"/>
      <c r="AL417" s="91"/>
      <c r="AM417" s="91"/>
      <c r="AN417" s="91"/>
    </row>
    <row r="418">
      <c r="A418" s="164"/>
      <c r="B418" s="165"/>
      <c r="C418" s="165"/>
      <c r="D418" s="164"/>
      <c r="E418" s="164"/>
      <c r="F418" s="164"/>
      <c r="G418" s="91"/>
      <c r="H418" s="91"/>
      <c r="I418" s="91"/>
      <c r="J418" s="91"/>
      <c r="K418" s="160"/>
      <c r="L418" s="160"/>
      <c r="M418" s="160"/>
      <c r="N418" s="160"/>
      <c r="O418" s="160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  <c r="AC418" s="91"/>
      <c r="AD418" s="91"/>
      <c r="AE418" s="91"/>
      <c r="AF418" s="91"/>
      <c r="AG418" s="91"/>
      <c r="AH418" s="91"/>
      <c r="AI418" s="91"/>
      <c r="AJ418" s="91"/>
      <c r="AK418" s="91"/>
      <c r="AL418" s="91"/>
      <c r="AM418" s="91"/>
      <c r="AN418" s="91"/>
    </row>
    <row r="419">
      <c r="A419" s="164"/>
      <c r="B419" s="165"/>
      <c r="C419" s="165"/>
      <c r="D419" s="164"/>
      <c r="E419" s="164"/>
      <c r="F419" s="164"/>
      <c r="G419" s="91"/>
      <c r="H419" s="91"/>
      <c r="I419" s="91"/>
      <c r="J419" s="91"/>
      <c r="K419" s="160"/>
      <c r="L419" s="160"/>
      <c r="M419" s="160"/>
      <c r="N419" s="160"/>
      <c r="O419" s="160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  <c r="AC419" s="91"/>
      <c r="AD419" s="91"/>
      <c r="AE419" s="91"/>
      <c r="AF419" s="91"/>
      <c r="AG419" s="91"/>
      <c r="AH419" s="91"/>
      <c r="AI419" s="91"/>
      <c r="AJ419" s="91"/>
      <c r="AK419" s="91"/>
      <c r="AL419" s="91"/>
      <c r="AM419" s="91"/>
      <c r="AN419" s="91"/>
    </row>
    <row r="420">
      <c r="A420" s="164"/>
      <c r="B420" s="165"/>
      <c r="C420" s="165"/>
      <c r="D420" s="164"/>
      <c r="E420" s="164"/>
      <c r="F420" s="164"/>
      <c r="G420" s="91"/>
      <c r="H420" s="91"/>
      <c r="I420" s="91"/>
      <c r="J420" s="91"/>
      <c r="K420" s="160"/>
      <c r="L420" s="160"/>
      <c r="M420" s="160"/>
      <c r="N420" s="160"/>
      <c r="O420" s="160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  <c r="AC420" s="91"/>
      <c r="AD420" s="91"/>
      <c r="AE420" s="91"/>
      <c r="AF420" s="91"/>
      <c r="AG420" s="91"/>
      <c r="AH420" s="91"/>
      <c r="AI420" s="91"/>
      <c r="AJ420" s="91"/>
      <c r="AK420" s="91"/>
      <c r="AL420" s="91"/>
      <c r="AM420" s="91"/>
      <c r="AN420" s="91"/>
    </row>
    <row r="421">
      <c r="A421" s="164"/>
      <c r="B421" s="165"/>
      <c r="C421" s="165"/>
      <c r="D421" s="164"/>
      <c r="E421" s="164"/>
      <c r="F421" s="164"/>
      <c r="G421" s="91"/>
      <c r="H421" s="91"/>
      <c r="I421" s="91"/>
      <c r="J421" s="91"/>
      <c r="K421" s="160"/>
      <c r="L421" s="160"/>
      <c r="M421" s="160"/>
      <c r="N421" s="160"/>
      <c r="O421" s="160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  <c r="AC421" s="91"/>
      <c r="AD421" s="91"/>
      <c r="AE421" s="91"/>
      <c r="AF421" s="91"/>
      <c r="AG421" s="91"/>
      <c r="AH421" s="91"/>
      <c r="AI421" s="91"/>
      <c r="AJ421" s="91"/>
      <c r="AK421" s="91"/>
      <c r="AL421" s="91"/>
      <c r="AM421" s="91"/>
      <c r="AN421" s="91"/>
    </row>
    <row r="422">
      <c r="A422" s="164"/>
      <c r="B422" s="165"/>
      <c r="C422" s="165"/>
      <c r="D422" s="164"/>
      <c r="E422" s="164"/>
      <c r="F422" s="164"/>
      <c r="G422" s="91"/>
      <c r="H422" s="91"/>
      <c r="I422" s="91"/>
      <c r="J422" s="91"/>
      <c r="K422" s="160"/>
      <c r="L422" s="160"/>
      <c r="M422" s="160"/>
      <c r="N422" s="160"/>
      <c r="O422" s="160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  <c r="AC422" s="91"/>
      <c r="AD422" s="91"/>
      <c r="AE422" s="91"/>
      <c r="AF422" s="91"/>
      <c r="AG422" s="91"/>
      <c r="AH422" s="91"/>
      <c r="AI422" s="91"/>
      <c r="AJ422" s="91"/>
      <c r="AK422" s="91"/>
      <c r="AL422" s="91"/>
      <c r="AM422" s="91"/>
      <c r="AN422" s="91"/>
    </row>
    <row r="423">
      <c r="A423" s="164"/>
      <c r="B423" s="165"/>
      <c r="C423" s="165"/>
      <c r="D423" s="164"/>
      <c r="E423" s="164"/>
      <c r="F423" s="164"/>
      <c r="G423" s="91"/>
      <c r="H423" s="91"/>
      <c r="I423" s="91"/>
      <c r="J423" s="91"/>
      <c r="K423" s="160"/>
      <c r="L423" s="160"/>
      <c r="M423" s="160"/>
      <c r="N423" s="160"/>
      <c r="O423" s="160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  <c r="AC423" s="91"/>
      <c r="AD423" s="91"/>
      <c r="AE423" s="91"/>
      <c r="AF423" s="91"/>
      <c r="AG423" s="91"/>
      <c r="AH423" s="91"/>
      <c r="AI423" s="91"/>
      <c r="AJ423" s="91"/>
      <c r="AK423" s="91"/>
      <c r="AL423" s="91"/>
      <c r="AM423" s="91"/>
      <c r="AN423" s="91"/>
    </row>
    <row r="424">
      <c r="A424" s="164"/>
      <c r="B424" s="165"/>
      <c r="C424" s="165"/>
      <c r="D424" s="164"/>
      <c r="E424" s="164"/>
      <c r="F424" s="164"/>
      <c r="G424" s="91"/>
      <c r="H424" s="91"/>
      <c r="I424" s="91"/>
      <c r="J424" s="91"/>
      <c r="K424" s="160"/>
      <c r="L424" s="160"/>
      <c r="M424" s="160"/>
      <c r="N424" s="160"/>
      <c r="O424" s="160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  <c r="AC424" s="91"/>
      <c r="AD424" s="91"/>
      <c r="AE424" s="91"/>
      <c r="AF424" s="91"/>
      <c r="AG424" s="91"/>
      <c r="AH424" s="91"/>
      <c r="AI424" s="91"/>
      <c r="AJ424" s="91"/>
      <c r="AK424" s="91"/>
      <c r="AL424" s="91"/>
      <c r="AM424" s="91"/>
      <c r="AN424" s="91"/>
    </row>
    <row r="425">
      <c r="A425" s="164"/>
      <c r="B425" s="165"/>
      <c r="C425" s="165"/>
      <c r="D425" s="164"/>
      <c r="E425" s="164"/>
      <c r="F425" s="164"/>
      <c r="G425" s="91"/>
      <c r="H425" s="91"/>
      <c r="I425" s="91"/>
      <c r="J425" s="91"/>
      <c r="K425" s="160"/>
      <c r="L425" s="160"/>
      <c r="M425" s="160"/>
      <c r="N425" s="160"/>
      <c r="O425" s="160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  <c r="AC425" s="91"/>
      <c r="AD425" s="91"/>
      <c r="AE425" s="91"/>
      <c r="AF425" s="91"/>
      <c r="AG425" s="91"/>
      <c r="AH425" s="91"/>
      <c r="AI425" s="91"/>
      <c r="AJ425" s="91"/>
      <c r="AK425" s="91"/>
      <c r="AL425" s="91"/>
      <c r="AM425" s="91"/>
      <c r="AN425" s="91"/>
    </row>
    <row r="426">
      <c r="A426" s="164"/>
      <c r="B426" s="165"/>
      <c r="C426" s="165"/>
      <c r="D426" s="164"/>
      <c r="E426" s="164"/>
      <c r="F426" s="164"/>
      <c r="G426" s="91"/>
      <c r="H426" s="91"/>
      <c r="I426" s="91"/>
      <c r="J426" s="91"/>
      <c r="K426" s="160"/>
      <c r="L426" s="160"/>
      <c r="M426" s="160"/>
      <c r="N426" s="160"/>
      <c r="O426" s="160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  <c r="AC426" s="91"/>
      <c r="AD426" s="91"/>
      <c r="AE426" s="91"/>
      <c r="AF426" s="91"/>
      <c r="AG426" s="91"/>
      <c r="AH426" s="91"/>
      <c r="AI426" s="91"/>
      <c r="AJ426" s="91"/>
      <c r="AK426" s="91"/>
      <c r="AL426" s="91"/>
      <c r="AM426" s="91"/>
      <c r="AN426" s="91"/>
    </row>
    <row r="427">
      <c r="A427" s="164"/>
      <c r="B427" s="165"/>
      <c r="C427" s="165"/>
      <c r="D427" s="164"/>
      <c r="E427" s="164"/>
      <c r="F427" s="164"/>
      <c r="G427" s="91"/>
      <c r="H427" s="91"/>
      <c r="I427" s="91"/>
      <c r="J427" s="91"/>
      <c r="K427" s="160"/>
      <c r="L427" s="160"/>
      <c r="M427" s="160"/>
      <c r="N427" s="160"/>
      <c r="O427" s="160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  <c r="AC427" s="91"/>
      <c r="AD427" s="91"/>
      <c r="AE427" s="91"/>
      <c r="AF427" s="91"/>
      <c r="AG427" s="91"/>
      <c r="AH427" s="91"/>
      <c r="AI427" s="91"/>
      <c r="AJ427" s="91"/>
      <c r="AK427" s="91"/>
      <c r="AL427" s="91"/>
      <c r="AM427" s="91"/>
      <c r="AN427" s="91"/>
    </row>
    <row r="428">
      <c r="A428" s="164"/>
      <c r="B428" s="165"/>
      <c r="C428" s="165"/>
      <c r="D428" s="164"/>
      <c r="E428" s="164"/>
      <c r="F428" s="164"/>
      <c r="G428" s="91"/>
      <c r="H428" s="91"/>
      <c r="I428" s="91"/>
      <c r="J428" s="91"/>
      <c r="K428" s="160"/>
      <c r="L428" s="160"/>
      <c r="M428" s="160"/>
      <c r="N428" s="160"/>
      <c r="O428" s="160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  <c r="AC428" s="91"/>
      <c r="AD428" s="91"/>
      <c r="AE428" s="91"/>
      <c r="AF428" s="91"/>
      <c r="AG428" s="91"/>
      <c r="AH428" s="91"/>
      <c r="AI428" s="91"/>
      <c r="AJ428" s="91"/>
      <c r="AK428" s="91"/>
      <c r="AL428" s="91"/>
      <c r="AM428" s="91"/>
      <c r="AN428" s="91"/>
    </row>
    <row r="429">
      <c r="A429" s="164"/>
      <c r="B429" s="165"/>
      <c r="C429" s="165"/>
      <c r="D429" s="164"/>
      <c r="E429" s="164"/>
      <c r="F429" s="164"/>
      <c r="G429" s="91"/>
      <c r="H429" s="91"/>
      <c r="I429" s="91"/>
      <c r="J429" s="91"/>
      <c r="K429" s="160"/>
      <c r="L429" s="160"/>
      <c r="M429" s="160"/>
      <c r="N429" s="160"/>
      <c r="O429" s="160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  <c r="AC429" s="91"/>
      <c r="AD429" s="91"/>
      <c r="AE429" s="91"/>
      <c r="AF429" s="91"/>
      <c r="AG429" s="91"/>
      <c r="AH429" s="91"/>
      <c r="AI429" s="91"/>
      <c r="AJ429" s="91"/>
      <c r="AK429" s="91"/>
      <c r="AL429" s="91"/>
      <c r="AM429" s="91"/>
      <c r="AN429" s="91"/>
    </row>
    <row r="430">
      <c r="A430" s="164"/>
      <c r="B430" s="165"/>
      <c r="C430" s="165"/>
      <c r="D430" s="164"/>
      <c r="E430" s="164"/>
      <c r="F430" s="164"/>
      <c r="G430" s="91"/>
      <c r="H430" s="91"/>
      <c r="I430" s="91"/>
      <c r="J430" s="91"/>
      <c r="K430" s="160"/>
      <c r="L430" s="160"/>
      <c r="M430" s="160"/>
      <c r="N430" s="160"/>
      <c r="O430" s="160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  <c r="AC430" s="91"/>
      <c r="AD430" s="91"/>
      <c r="AE430" s="91"/>
      <c r="AF430" s="91"/>
      <c r="AG430" s="91"/>
      <c r="AH430" s="91"/>
      <c r="AI430" s="91"/>
      <c r="AJ430" s="91"/>
      <c r="AK430" s="91"/>
      <c r="AL430" s="91"/>
      <c r="AM430" s="91"/>
      <c r="AN430" s="91"/>
    </row>
    <row r="431">
      <c r="A431" s="164"/>
      <c r="B431" s="165"/>
      <c r="C431" s="165"/>
      <c r="D431" s="164"/>
      <c r="E431" s="164"/>
      <c r="F431" s="164"/>
      <c r="G431" s="91"/>
      <c r="H431" s="91"/>
      <c r="I431" s="91"/>
      <c r="J431" s="91"/>
      <c r="K431" s="160"/>
      <c r="L431" s="160"/>
      <c r="M431" s="160"/>
      <c r="N431" s="160"/>
      <c r="O431" s="160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  <c r="AC431" s="91"/>
      <c r="AD431" s="91"/>
      <c r="AE431" s="91"/>
      <c r="AF431" s="91"/>
      <c r="AG431" s="91"/>
      <c r="AH431" s="91"/>
      <c r="AI431" s="91"/>
      <c r="AJ431" s="91"/>
      <c r="AK431" s="91"/>
      <c r="AL431" s="91"/>
      <c r="AM431" s="91"/>
      <c r="AN431" s="91"/>
    </row>
    <row r="432">
      <c r="A432" s="164"/>
      <c r="B432" s="165"/>
      <c r="C432" s="165"/>
      <c r="D432" s="164"/>
      <c r="E432" s="164"/>
      <c r="F432" s="164"/>
      <c r="G432" s="91"/>
      <c r="H432" s="91"/>
      <c r="I432" s="91"/>
      <c r="J432" s="91"/>
      <c r="K432" s="160"/>
      <c r="L432" s="160"/>
      <c r="M432" s="160"/>
      <c r="N432" s="160"/>
      <c r="O432" s="160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  <c r="AC432" s="91"/>
      <c r="AD432" s="91"/>
      <c r="AE432" s="91"/>
      <c r="AF432" s="91"/>
      <c r="AG432" s="91"/>
      <c r="AH432" s="91"/>
      <c r="AI432" s="91"/>
      <c r="AJ432" s="91"/>
      <c r="AK432" s="91"/>
      <c r="AL432" s="91"/>
      <c r="AM432" s="91"/>
      <c r="AN432" s="91"/>
    </row>
    <row r="433">
      <c r="A433" s="164"/>
      <c r="B433" s="165"/>
      <c r="C433" s="165"/>
      <c r="D433" s="164"/>
      <c r="E433" s="164"/>
      <c r="F433" s="164"/>
      <c r="G433" s="91"/>
      <c r="H433" s="91"/>
      <c r="I433" s="91"/>
      <c r="J433" s="91"/>
      <c r="K433" s="160"/>
      <c r="L433" s="160"/>
      <c r="M433" s="160"/>
      <c r="N433" s="160"/>
      <c r="O433" s="160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  <c r="AC433" s="91"/>
      <c r="AD433" s="91"/>
      <c r="AE433" s="91"/>
      <c r="AF433" s="91"/>
      <c r="AG433" s="91"/>
      <c r="AH433" s="91"/>
      <c r="AI433" s="91"/>
      <c r="AJ433" s="91"/>
      <c r="AK433" s="91"/>
      <c r="AL433" s="91"/>
      <c r="AM433" s="91"/>
      <c r="AN433" s="91"/>
    </row>
    <row r="434">
      <c r="A434" s="164"/>
      <c r="B434" s="165"/>
      <c r="C434" s="165"/>
      <c r="D434" s="164"/>
      <c r="E434" s="164"/>
      <c r="F434" s="164"/>
      <c r="G434" s="91"/>
      <c r="H434" s="91"/>
      <c r="I434" s="91"/>
      <c r="J434" s="91"/>
      <c r="K434" s="160"/>
      <c r="L434" s="160"/>
      <c r="M434" s="160"/>
      <c r="N434" s="160"/>
      <c r="O434" s="160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  <c r="AC434" s="91"/>
      <c r="AD434" s="91"/>
      <c r="AE434" s="91"/>
      <c r="AF434" s="91"/>
      <c r="AG434" s="91"/>
      <c r="AH434" s="91"/>
      <c r="AI434" s="91"/>
      <c r="AJ434" s="91"/>
      <c r="AK434" s="91"/>
      <c r="AL434" s="91"/>
      <c r="AM434" s="91"/>
      <c r="AN434" s="91"/>
    </row>
    <row r="435">
      <c r="A435" s="164"/>
      <c r="B435" s="165"/>
      <c r="C435" s="165"/>
      <c r="D435" s="164"/>
      <c r="E435" s="164"/>
      <c r="F435" s="164"/>
      <c r="G435" s="91"/>
      <c r="H435" s="91"/>
      <c r="I435" s="91"/>
      <c r="J435" s="91"/>
      <c r="K435" s="160"/>
      <c r="L435" s="160"/>
      <c r="M435" s="160"/>
      <c r="N435" s="160"/>
      <c r="O435" s="160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  <c r="AC435" s="91"/>
      <c r="AD435" s="91"/>
      <c r="AE435" s="91"/>
      <c r="AF435" s="91"/>
      <c r="AG435" s="91"/>
      <c r="AH435" s="91"/>
      <c r="AI435" s="91"/>
      <c r="AJ435" s="91"/>
      <c r="AK435" s="91"/>
      <c r="AL435" s="91"/>
      <c r="AM435" s="91"/>
      <c r="AN435" s="91"/>
    </row>
    <row r="436">
      <c r="A436" s="164"/>
      <c r="B436" s="165"/>
      <c r="C436" s="165"/>
      <c r="D436" s="164"/>
      <c r="E436" s="164"/>
      <c r="F436" s="164"/>
      <c r="G436" s="91"/>
      <c r="H436" s="91"/>
      <c r="I436" s="91"/>
      <c r="J436" s="91"/>
      <c r="K436" s="160"/>
      <c r="L436" s="160"/>
      <c r="M436" s="160"/>
      <c r="N436" s="160"/>
      <c r="O436" s="160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  <c r="AC436" s="91"/>
      <c r="AD436" s="91"/>
      <c r="AE436" s="91"/>
      <c r="AF436" s="91"/>
      <c r="AG436" s="91"/>
      <c r="AH436" s="91"/>
      <c r="AI436" s="91"/>
      <c r="AJ436" s="91"/>
      <c r="AK436" s="91"/>
      <c r="AL436" s="91"/>
      <c r="AM436" s="91"/>
      <c r="AN436" s="91"/>
    </row>
    <row r="437">
      <c r="A437" s="164"/>
      <c r="B437" s="165"/>
      <c r="C437" s="165"/>
      <c r="D437" s="164"/>
      <c r="E437" s="164"/>
      <c r="F437" s="164"/>
      <c r="G437" s="91"/>
      <c r="H437" s="91"/>
      <c r="I437" s="91"/>
      <c r="J437" s="91"/>
      <c r="K437" s="160"/>
      <c r="L437" s="160"/>
      <c r="M437" s="160"/>
      <c r="N437" s="160"/>
      <c r="O437" s="160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  <c r="AC437" s="91"/>
      <c r="AD437" s="91"/>
      <c r="AE437" s="91"/>
      <c r="AF437" s="91"/>
      <c r="AG437" s="91"/>
      <c r="AH437" s="91"/>
      <c r="AI437" s="91"/>
      <c r="AJ437" s="91"/>
      <c r="AK437" s="91"/>
      <c r="AL437" s="91"/>
      <c r="AM437" s="91"/>
      <c r="AN437" s="91"/>
    </row>
    <row r="438">
      <c r="A438" s="164"/>
      <c r="B438" s="165"/>
      <c r="C438" s="165"/>
      <c r="D438" s="164"/>
      <c r="E438" s="164"/>
      <c r="F438" s="164"/>
      <c r="G438" s="91"/>
      <c r="H438" s="91"/>
      <c r="I438" s="91"/>
      <c r="J438" s="91"/>
      <c r="K438" s="160"/>
      <c r="L438" s="160"/>
      <c r="M438" s="160"/>
      <c r="N438" s="160"/>
      <c r="O438" s="160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  <c r="AC438" s="91"/>
      <c r="AD438" s="91"/>
      <c r="AE438" s="91"/>
      <c r="AF438" s="91"/>
      <c r="AG438" s="91"/>
      <c r="AH438" s="91"/>
      <c r="AI438" s="91"/>
      <c r="AJ438" s="91"/>
      <c r="AK438" s="91"/>
      <c r="AL438" s="91"/>
      <c r="AM438" s="91"/>
      <c r="AN438" s="91"/>
    </row>
    <row r="439">
      <c r="A439" s="164"/>
      <c r="B439" s="165"/>
      <c r="C439" s="165"/>
      <c r="D439" s="164"/>
      <c r="E439" s="164"/>
      <c r="F439" s="164"/>
      <c r="G439" s="91"/>
      <c r="H439" s="91"/>
      <c r="I439" s="91"/>
      <c r="J439" s="91"/>
      <c r="K439" s="160"/>
      <c r="L439" s="160"/>
      <c r="M439" s="160"/>
      <c r="N439" s="160"/>
      <c r="O439" s="160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  <c r="AC439" s="91"/>
      <c r="AD439" s="91"/>
      <c r="AE439" s="91"/>
      <c r="AF439" s="91"/>
      <c r="AG439" s="91"/>
      <c r="AH439" s="91"/>
      <c r="AI439" s="91"/>
      <c r="AJ439" s="91"/>
      <c r="AK439" s="91"/>
      <c r="AL439" s="91"/>
      <c r="AM439" s="91"/>
      <c r="AN439" s="91"/>
    </row>
    <row r="440">
      <c r="A440" s="164"/>
      <c r="B440" s="165"/>
      <c r="C440" s="165"/>
      <c r="D440" s="164"/>
      <c r="E440" s="164"/>
      <c r="F440" s="164"/>
      <c r="G440" s="91"/>
      <c r="H440" s="91"/>
      <c r="I440" s="91"/>
      <c r="J440" s="91"/>
      <c r="K440" s="160"/>
      <c r="L440" s="160"/>
      <c r="M440" s="160"/>
      <c r="N440" s="160"/>
      <c r="O440" s="160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  <c r="AC440" s="91"/>
      <c r="AD440" s="91"/>
      <c r="AE440" s="91"/>
      <c r="AF440" s="91"/>
      <c r="AG440" s="91"/>
      <c r="AH440" s="91"/>
      <c r="AI440" s="91"/>
      <c r="AJ440" s="91"/>
      <c r="AK440" s="91"/>
      <c r="AL440" s="91"/>
      <c r="AM440" s="91"/>
      <c r="AN440" s="91"/>
    </row>
    <row r="441">
      <c r="A441" s="164"/>
      <c r="B441" s="165"/>
      <c r="C441" s="165"/>
      <c r="D441" s="164"/>
      <c r="E441" s="164"/>
      <c r="F441" s="164"/>
      <c r="G441" s="91"/>
      <c r="H441" s="91"/>
      <c r="I441" s="91"/>
      <c r="J441" s="91"/>
      <c r="K441" s="160"/>
      <c r="L441" s="160"/>
      <c r="M441" s="160"/>
      <c r="N441" s="160"/>
      <c r="O441" s="160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  <c r="AC441" s="91"/>
      <c r="AD441" s="91"/>
      <c r="AE441" s="91"/>
      <c r="AF441" s="91"/>
      <c r="AG441" s="91"/>
      <c r="AH441" s="91"/>
      <c r="AI441" s="91"/>
      <c r="AJ441" s="91"/>
      <c r="AK441" s="91"/>
      <c r="AL441" s="91"/>
      <c r="AM441" s="91"/>
      <c r="AN441" s="91"/>
    </row>
    <row r="442">
      <c r="A442" s="164"/>
      <c r="B442" s="165"/>
      <c r="C442" s="165"/>
      <c r="D442" s="164"/>
      <c r="E442" s="164"/>
      <c r="F442" s="164"/>
      <c r="G442" s="91"/>
      <c r="H442" s="91"/>
      <c r="I442" s="91"/>
      <c r="J442" s="91"/>
      <c r="K442" s="160"/>
      <c r="L442" s="160"/>
      <c r="M442" s="160"/>
      <c r="N442" s="160"/>
      <c r="O442" s="160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  <c r="AC442" s="91"/>
      <c r="AD442" s="91"/>
      <c r="AE442" s="91"/>
      <c r="AF442" s="91"/>
      <c r="AG442" s="91"/>
      <c r="AH442" s="91"/>
      <c r="AI442" s="91"/>
      <c r="AJ442" s="91"/>
      <c r="AK442" s="91"/>
      <c r="AL442" s="91"/>
      <c r="AM442" s="91"/>
      <c r="AN442" s="91"/>
    </row>
    <row r="443">
      <c r="A443" s="164"/>
      <c r="B443" s="165"/>
      <c r="C443" s="165"/>
      <c r="D443" s="164"/>
      <c r="E443" s="164"/>
      <c r="F443" s="164"/>
      <c r="G443" s="91"/>
      <c r="H443" s="91"/>
      <c r="I443" s="91"/>
      <c r="J443" s="91"/>
      <c r="K443" s="160"/>
      <c r="L443" s="160"/>
      <c r="M443" s="160"/>
      <c r="N443" s="160"/>
      <c r="O443" s="160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  <c r="AC443" s="91"/>
      <c r="AD443" s="91"/>
      <c r="AE443" s="91"/>
      <c r="AF443" s="91"/>
      <c r="AG443" s="91"/>
      <c r="AH443" s="91"/>
      <c r="AI443" s="91"/>
      <c r="AJ443" s="91"/>
      <c r="AK443" s="91"/>
      <c r="AL443" s="91"/>
      <c r="AM443" s="91"/>
      <c r="AN443" s="91"/>
    </row>
    <row r="444">
      <c r="A444" s="164"/>
      <c r="B444" s="165"/>
      <c r="C444" s="165"/>
      <c r="D444" s="164"/>
      <c r="E444" s="164"/>
      <c r="F444" s="164"/>
      <c r="G444" s="91"/>
      <c r="H444" s="91"/>
      <c r="I444" s="91"/>
      <c r="J444" s="91"/>
      <c r="K444" s="160"/>
      <c r="L444" s="160"/>
      <c r="M444" s="160"/>
      <c r="N444" s="160"/>
      <c r="O444" s="160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  <c r="AC444" s="91"/>
      <c r="AD444" s="91"/>
      <c r="AE444" s="91"/>
      <c r="AF444" s="91"/>
      <c r="AG444" s="91"/>
      <c r="AH444" s="91"/>
      <c r="AI444" s="91"/>
      <c r="AJ444" s="91"/>
      <c r="AK444" s="91"/>
      <c r="AL444" s="91"/>
      <c r="AM444" s="91"/>
      <c r="AN444" s="91"/>
    </row>
    <row r="445">
      <c r="A445" s="164"/>
      <c r="B445" s="165"/>
      <c r="C445" s="165"/>
      <c r="D445" s="164"/>
      <c r="E445" s="164"/>
      <c r="F445" s="164"/>
      <c r="G445" s="91"/>
      <c r="H445" s="91"/>
      <c r="I445" s="91"/>
      <c r="J445" s="91"/>
      <c r="K445" s="160"/>
      <c r="L445" s="160"/>
      <c r="M445" s="160"/>
      <c r="N445" s="160"/>
      <c r="O445" s="160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  <c r="AC445" s="91"/>
      <c r="AD445" s="91"/>
      <c r="AE445" s="91"/>
      <c r="AF445" s="91"/>
      <c r="AG445" s="91"/>
      <c r="AH445" s="91"/>
      <c r="AI445" s="91"/>
      <c r="AJ445" s="91"/>
      <c r="AK445" s="91"/>
      <c r="AL445" s="91"/>
      <c r="AM445" s="91"/>
      <c r="AN445" s="91"/>
    </row>
    <row r="446">
      <c r="A446" s="164"/>
      <c r="B446" s="165"/>
      <c r="C446" s="165"/>
      <c r="D446" s="164"/>
      <c r="E446" s="164"/>
      <c r="F446" s="164"/>
      <c r="G446" s="91"/>
      <c r="H446" s="91"/>
      <c r="I446" s="91"/>
      <c r="J446" s="91"/>
      <c r="K446" s="160"/>
      <c r="L446" s="160"/>
      <c r="M446" s="160"/>
      <c r="N446" s="160"/>
      <c r="O446" s="160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  <c r="AC446" s="91"/>
      <c r="AD446" s="91"/>
      <c r="AE446" s="91"/>
      <c r="AF446" s="91"/>
      <c r="AG446" s="91"/>
      <c r="AH446" s="91"/>
      <c r="AI446" s="91"/>
      <c r="AJ446" s="91"/>
      <c r="AK446" s="91"/>
      <c r="AL446" s="91"/>
      <c r="AM446" s="91"/>
      <c r="AN446" s="91"/>
    </row>
    <row r="447">
      <c r="A447" s="164"/>
      <c r="B447" s="165"/>
      <c r="C447" s="165"/>
      <c r="D447" s="164"/>
      <c r="E447" s="164"/>
      <c r="F447" s="164"/>
      <c r="G447" s="91"/>
      <c r="H447" s="91"/>
      <c r="I447" s="91"/>
      <c r="J447" s="91"/>
      <c r="K447" s="160"/>
      <c r="L447" s="160"/>
      <c r="M447" s="160"/>
      <c r="N447" s="160"/>
      <c r="O447" s="160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  <c r="AC447" s="91"/>
      <c r="AD447" s="91"/>
      <c r="AE447" s="91"/>
      <c r="AF447" s="91"/>
      <c r="AG447" s="91"/>
      <c r="AH447" s="91"/>
      <c r="AI447" s="91"/>
      <c r="AJ447" s="91"/>
      <c r="AK447" s="91"/>
      <c r="AL447" s="91"/>
      <c r="AM447" s="91"/>
      <c r="AN447" s="91"/>
    </row>
    <row r="448">
      <c r="A448" s="164"/>
      <c r="B448" s="165"/>
      <c r="C448" s="165"/>
      <c r="D448" s="164"/>
      <c r="E448" s="164"/>
      <c r="F448" s="164"/>
      <c r="G448" s="91"/>
      <c r="H448" s="91"/>
      <c r="I448" s="91"/>
      <c r="J448" s="91"/>
      <c r="K448" s="160"/>
      <c r="L448" s="160"/>
      <c r="M448" s="160"/>
      <c r="N448" s="160"/>
      <c r="O448" s="160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  <c r="AC448" s="91"/>
      <c r="AD448" s="91"/>
      <c r="AE448" s="91"/>
      <c r="AF448" s="91"/>
      <c r="AG448" s="91"/>
      <c r="AH448" s="91"/>
      <c r="AI448" s="91"/>
      <c r="AJ448" s="91"/>
      <c r="AK448" s="91"/>
      <c r="AL448" s="91"/>
      <c r="AM448" s="91"/>
      <c r="AN448" s="91"/>
    </row>
    <row r="449">
      <c r="A449" s="164"/>
      <c r="B449" s="165"/>
      <c r="C449" s="165"/>
      <c r="D449" s="164"/>
      <c r="E449" s="164"/>
      <c r="F449" s="164"/>
      <c r="G449" s="91"/>
      <c r="H449" s="91"/>
      <c r="I449" s="91"/>
      <c r="J449" s="91"/>
      <c r="K449" s="160"/>
      <c r="L449" s="160"/>
      <c r="M449" s="160"/>
      <c r="N449" s="160"/>
      <c r="O449" s="160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  <c r="AC449" s="91"/>
      <c r="AD449" s="91"/>
      <c r="AE449" s="91"/>
      <c r="AF449" s="91"/>
      <c r="AG449" s="91"/>
      <c r="AH449" s="91"/>
      <c r="AI449" s="91"/>
      <c r="AJ449" s="91"/>
      <c r="AK449" s="91"/>
      <c r="AL449" s="91"/>
      <c r="AM449" s="91"/>
      <c r="AN449" s="91"/>
    </row>
    <row r="450">
      <c r="A450" s="164"/>
      <c r="B450" s="165"/>
      <c r="C450" s="165"/>
      <c r="D450" s="164"/>
      <c r="E450" s="164"/>
      <c r="F450" s="164"/>
      <c r="G450" s="91"/>
      <c r="H450" s="91"/>
      <c r="I450" s="91"/>
      <c r="J450" s="91"/>
      <c r="K450" s="160"/>
      <c r="L450" s="160"/>
      <c r="M450" s="160"/>
      <c r="N450" s="160"/>
      <c r="O450" s="160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  <c r="AC450" s="91"/>
      <c r="AD450" s="91"/>
      <c r="AE450" s="91"/>
      <c r="AF450" s="91"/>
      <c r="AG450" s="91"/>
      <c r="AH450" s="91"/>
      <c r="AI450" s="91"/>
      <c r="AJ450" s="91"/>
      <c r="AK450" s="91"/>
      <c r="AL450" s="91"/>
      <c r="AM450" s="91"/>
      <c r="AN450" s="91"/>
    </row>
    <row r="451">
      <c r="A451" s="164"/>
      <c r="B451" s="165"/>
      <c r="C451" s="165"/>
      <c r="D451" s="164"/>
      <c r="E451" s="164"/>
      <c r="F451" s="164"/>
      <c r="G451" s="91"/>
      <c r="H451" s="91"/>
      <c r="I451" s="91"/>
      <c r="J451" s="91"/>
      <c r="K451" s="160"/>
      <c r="L451" s="160"/>
      <c r="M451" s="160"/>
      <c r="N451" s="160"/>
      <c r="O451" s="160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  <c r="AC451" s="91"/>
      <c r="AD451" s="91"/>
      <c r="AE451" s="91"/>
      <c r="AF451" s="91"/>
      <c r="AG451" s="91"/>
      <c r="AH451" s="91"/>
      <c r="AI451" s="91"/>
      <c r="AJ451" s="91"/>
      <c r="AK451" s="91"/>
      <c r="AL451" s="91"/>
      <c r="AM451" s="91"/>
      <c r="AN451" s="91"/>
    </row>
    <row r="452">
      <c r="A452" s="164"/>
      <c r="B452" s="165"/>
      <c r="C452" s="165"/>
      <c r="D452" s="164"/>
      <c r="E452" s="164"/>
      <c r="F452" s="164"/>
      <c r="G452" s="91"/>
      <c r="H452" s="91"/>
      <c r="I452" s="91"/>
      <c r="J452" s="91"/>
      <c r="K452" s="160"/>
      <c r="L452" s="160"/>
      <c r="M452" s="160"/>
      <c r="N452" s="160"/>
      <c r="O452" s="160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  <c r="AC452" s="91"/>
      <c r="AD452" s="91"/>
      <c r="AE452" s="91"/>
      <c r="AF452" s="91"/>
      <c r="AG452" s="91"/>
      <c r="AH452" s="91"/>
      <c r="AI452" s="91"/>
      <c r="AJ452" s="91"/>
      <c r="AK452" s="91"/>
      <c r="AL452" s="91"/>
      <c r="AM452" s="91"/>
      <c r="AN452" s="91"/>
    </row>
    <row r="453">
      <c r="A453" s="164"/>
      <c r="B453" s="165"/>
      <c r="C453" s="165"/>
      <c r="D453" s="164"/>
      <c r="E453" s="164"/>
      <c r="F453" s="164"/>
      <c r="G453" s="91"/>
      <c r="H453" s="91"/>
      <c r="I453" s="91"/>
      <c r="J453" s="91"/>
      <c r="K453" s="160"/>
      <c r="L453" s="160"/>
      <c r="M453" s="160"/>
      <c r="N453" s="160"/>
      <c r="O453" s="160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  <c r="AC453" s="91"/>
      <c r="AD453" s="91"/>
      <c r="AE453" s="91"/>
      <c r="AF453" s="91"/>
      <c r="AG453" s="91"/>
      <c r="AH453" s="91"/>
      <c r="AI453" s="91"/>
      <c r="AJ453" s="91"/>
      <c r="AK453" s="91"/>
      <c r="AL453" s="91"/>
      <c r="AM453" s="91"/>
      <c r="AN453" s="91"/>
    </row>
    <row r="454">
      <c r="A454" s="164"/>
      <c r="B454" s="165"/>
      <c r="C454" s="165"/>
      <c r="D454" s="164"/>
      <c r="E454" s="164"/>
      <c r="F454" s="164"/>
      <c r="G454" s="91"/>
      <c r="H454" s="91"/>
      <c r="I454" s="91"/>
      <c r="J454" s="91"/>
      <c r="K454" s="160"/>
      <c r="L454" s="160"/>
      <c r="M454" s="160"/>
      <c r="N454" s="160"/>
      <c r="O454" s="160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  <c r="AC454" s="91"/>
      <c r="AD454" s="91"/>
      <c r="AE454" s="91"/>
      <c r="AF454" s="91"/>
      <c r="AG454" s="91"/>
      <c r="AH454" s="91"/>
      <c r="AI454" s="91"/>
      <c r="AJ454" s="91"/>
      <c r="AK454" s="91"/>
      <c r="AL454" s="91"/>
      <c r="AM454" s="91"/>
      <c r="AN454" s="91"/>
    </row>
    <row r="455">
      <c r="A455" s="164"/>
      <c r="B455" s="165"/>
      <c r="C455" s="165"/>
      <c r="D455" s="164"/>
      <c r="E455" s="164"/>
      <c r="F455" s="164"/>
      <c r="G455" s="91"/>
      <c r="H455" s="91"/>
      <c r="I455" s="91"/>
      <c r="J455" s="91"/>
      <c r="K455" s="160"/>
      <c r="L455" s="160"/>
      <c r="M455" s="160"/>
      <c r="N455" s="160"/>
      <c r="O455" s="160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  <c r="AC455" s="91"/>
      <c r="AD455" s="91"/>
      <c r="AE455" s="91"/>
      <c r="AF455" s="91"/>
      <c r="AG455" s="91"/>
      <c r="AH455" s="91"/>
      <c r="AI455" s="91"/>
      <c r="AJ455" s="91"/>
      <c r="AK455" s="91"/>
      <c r="AL455" s="91"/>
      <c r="AM455" s="91"/>
      <c r="AN455" s="91"/>
    </row>
    <row r="456">
      <c r="A456" s="164"/>
      <c r="B456" s="165"/>
      <c r="C456" s="165"/>
      <c r="D456" s="164"/>
      <c r="E456" s="164"/>
      <c r="F456" s="164"/>
      <c r="G456" s="91"/>
      <c r="H456" s="91"/>
      <c r="I456" s="91"/>
      <c r="J456" s="91"/>
      <c r="K456" s="160"/>
      <c r="L456" s="160"/>
      <c r="M456" s="160"/>
      <c r="N456" s="160"/>
      <c r="O456" s="160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  <c r="AC456" s="91"/>
      <c r="AD456" s="91"/>
      <c r="AE456" s="91"/>
      <c r="AF456" s="91"/>
      <c r="AG456" s="91"/>
      <c r="AH456" s="91"/>
      <c r="AI456" s="91"/>
      <c r="AJ456" s="91"/>
      <c r="AK456" s="91"/>
      <c r="AL456" s="91"/>
      <c r="AM456" s="91"/>
      <c r="AN456" s="91"/>
    </row>
    <row r="457">
      <c r="A457" s="164"/>
      <c r="B457" s="165"/>
      <c r="C457" s="165"/>
      <c r="D457" s="164"/>
      <c r="E457" s="164"/>
      <c r="F457" s="164"/>
      <c r="G457" s="91"/>
      <c r="H457" s="91"/>
      <c r="I457" s="91"/>
      <c r="J457" s="91"/>
      <c r="K457" s="160"/>
      <c r="L457" s="160"/>
      <c r="M457" s="160"/>
      <c r="N457" s="160"/>
      <c r="O457" s="160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  <c r="AC457" s="91"/>
      <c r="AD457" s="91"/>
      <c r="AE457" s="91"/>
      <c r="AF457" s="91"/>
      <c r="AG457" s="91"/>
      <c r="AH457" s="91"/>
      <c r="AI457" s="91"/>
      <c r="AJ457" s="91"/>
      <c r="AK457" s="91"/>
      <c r="AL457" s="91"/>
      <c r="AM457" s="91"/>
      <c r="AN457" s="91"/>
    </row>
    <row r="458">
      <c r="A458" s="164"/>
      <c r="B458" s="165"/>
      <c r="C458" s="165"/>
      <c r="D458" s="164"/>
      <c r="E458" s="164"/>
      <c r="F458" s="164"/>
      <c r="G458" s="91"/>
      <c r="H458" s="91"/>
      <c r="I458" s="91"/>
      <c r="J458" s="91"/>
      <c r="K458" s="160"/>
      <c r="L458" s="160"/>
      <c r="M458" s="160"/>
      <c r="N458" s="160"/>
      <c r="O458" s="160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  <c r="AC458" s="91"/>
      <c r="AD458" s="91"/>
      <c r="AE458" s="91"/>
      <c r="AF458" s="91"/>
      <c r="AG458" s="91"/>
      <c r="AH458" s="91"/>
      <c r="AI458" s="91"/>
      <c r="AJ458" s="91"/>
      <c r="AK458" s="91"/>
      <c r="AL458" s="91"/>
      <c r="AM458" s="91"/>
      <c r="AN458" s="91"/>
    </row>
    <row r="459">
      <c r="A459" s="164"/>
      <c r="B459" s="165"/>
      <c r="C459" s="165"/>
      <c r="D459" s="164"/>
      <c r="E459" s="164"/>
      <c r="F459" s="164"/>
      <c r="G459" s="91"/>
      <c r="H459" s="91"/>
      <c r="I459" s="91"/>
      <c r="J459" s="91"/>
      <c r="K459" s="160"/>
      <c r="L459" s="160"/>
      <c r="M459" s="160"/>
      <c r="N459" s="160"/>
      <c r="O459" s="160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  <c r="AC459" s="91"/>
      <c r="AD459" s="91"/>
      <c r="AE459" s="91"/>
      <c r="AF459" s="91"/>
      <c r="AG459" s="91"/>
      <c r="AH459" s="91"/>
      <c r="AI459" s="91"/>
      <c r="AJ459" s="91"/>
      <c r="AK459" s="91"/>
      <c r="AL459" s="91"/>
      <c r="AM459" s="91"/>
      <c r="AN459" s="91"/>
    </row>
    <row r="460">
      <c r="A460" s="164"/>
      <c r="B460" s="165"/>
      <c r="C460" s="165"/>
      <c r="D460" s="164"/>
      <c r="E460" s="164"/>
      <c r="F460" s="164"/>
      <c r="G460" s="91"/>
      <c r="H460" s="91"/>
      <c r="I460" s="91"/>
      <c r="J460" s="91"/>
      <c r="K460" s="160"/>
      <c r="L460" s="160"/>
      <c r="M460" s="160"/>
      <c r="N460" s="160"/>
      <c r="O460" s="160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  <c r="AC460" s="91"/>
      <c r="AD460" s="91"/>
      <c r="AE460" s="91"/>
      <c r="AF460" s="91"/>
      <c r="AG460" s="91"/>
      <c r="AH460" s="91"/>
      <c r="AI460" s="91"/>
      <c r="AJ460" s="91"/>
      <c r="AK460" s="91"/>
      <c r="AL460" s="91"/>
      <c r="AM460" s="91"/>
      <c r="AN460" s="91"/>
    </row>
    <row r="461">
      <c r="A461" s="164"/>
      <c r="B461" s="165"/>
      <c r="C461" s="165"/>
      <c r="D461" s="164"/>
      <c r="E461" s="164"/>
      <c r="F461" s="164"/>
      <c r="G461" s="91"/>
      <c r="H461" s="91"/>
      <c r="I461" s="91"/>
      <c r="J461" s="91"/>
      <c r="K461" s="160"/>
      <c r="L461" s="160"/>
      <c r="M461" s="160"/>
      <c r="N461" s="160"/>
      <c r="O461" s="160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  <c r="AC461" s="91"/>
      <c r="AD461" s="91"/>
      <c r="AE461" s="91"/>
      <c r="AF461" s="91"/>
      <c r="AG461" s="91"/>
      <c r="AH461" s="91"/>
      <c r="AI461" s="91"/>
      <c r="AJ461" s="91"/>
      <c r="AK461" s="91"/>
      <c r="AL461" s="91"/>
      <c r="AM461" s="91"/>
      <c r="AN461" s="91"/>
    </row>
    <row r="462">
      <c r="A462" s="164"/>
      <c r="B462" s="165"/>
      <c r="C462" s="165"/>
      <c r="D462" s="164"/>
      <c r="E462" s="164"/>
      <c r="F462" s="164"/>
      <c r="G462" s="91"/>
      <c r="H462" s="91"/>
      <c r="I462" s="91"/>
      <c r="J462" s="91"/>
      <c r="K462" s="160"/>
      <c r="L462" s="160"/>
      <c r="M462" s="160"/>
      <c r="N462" s="160"/>
      <c r="O462" s="160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  <c r="AC462" s="91"/>
      <c r="AD462" s="91"/>
      <c r="AE462" s="91"/>
      <c r="AF462" s="91"/>
      <c r="AG462" s="91"/>
      <c r="AH462" s="91"/>
      <c r="AI462" s="91"/>
      <c r="AJ462" s="91"/>
      <c r="AK462" s="91"/>
      <c r="AL462" s="91"/>
      <c r="AM462" s="91"/>
      <c r="AN462" s="91"/>
    </row>
    <row r="463">
      <c r="A463" s="164"/>
      <c r="B463" s="165"/>
      <c r="C463" s="165"/>
      <c r="D463" s="164"/>
      <c r="E463" s="164"/>
      <c r="F463" s="164"/>
      <c r="G463" s="91"/>
      <c r="H463" s="91"/>
      <c r="I463" s="91"/>
      <c r="J463" s="91"/>
      <c r="K463" s="160"/>
      <c r="L463" s="160"/>
      <c r="M463" s="160"/>
      <c r="N463" s="160"/>
      <c r="O463" s="160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  <c r="AC463" s="91"/>
      <c r="AD463" s="91"/>
      <c r="AE463" s="91"/>
      <c r="AF463" s="91"/>
      <c r="AG463" s="91"/>
      <c r="AH463" s="91"/>
      <c r="AI463" s="91"/>
      <c r="AJ463" s="91"/>
      <c r="AK463" s="91"/>
      <c r="AL463" s="91"/>
      <c r="AM463" s="91"/>
      <c r="AN463" s="91"/>
    </row>
    <row r="464">
      <c r="A464" s="164"/>
      <c r="B464" s="165"/>
      <c r="C464" s="165"/>
      <c r="D464" s="164"/>
      <c r="E464" s="164"/>
      <c r="F464" s="164"/>
      <c r="G464" s="91"/>
      <c r="H464" s="91"/>
      <c r="I464" s="91"/>
      <c r="J464" s="91"/>
      <c r="K464" s="160"/>
      <c r="L464" s="160"/>
      <c r="M464" s="160"/>
      <c r="N464" s="160"/>
      <c r="O464" s="160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  <c r="AC464" s="91"/>
      <c r="AD464" s="91"/>
      <c r="AE464" s="91"/>
      <c r="AF464" s="91"/>
      <c r="AG464" s="91"/>
      <c r="AH464" s="91"/>
      <c r="AI464" s="91"/>
      <c r="AJ464" s="91"/>
      <c r="AK464" s="91"/>
      <c r="AL464" s="91"/>
      <c r="AM464" s="91"/>
      <c r="AN464" s="91"/>
    </row>
    <row r="465">
      <c r="A465" s="164"/>
      <c r="B465" s="165"/>
      <c r="C465" s="165"/>
      <c r="D465" s="164"/>
      <c r="E465" s="164"/>
      <c r="F465" s="164"/>
      <c r="G465" s="91"/>
      <c r="H465" s="91"/>
      <c r="I465" s="91"/>
      <c r="J465" s="91"/>
      <c r="K465" s="160"/>
      <c r="L465" s="160"/>
      <c r="M465" s="160"/>
      <c r="N465" s="160"/>
      <c r="O465" s="160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  <c r="AC465" s="91"/>
      <c r="AD465" s="91"/>
      <c r="AE465" s="91"/>
      <c r="AF465" s="91"/>
      <c r="AG465" s="91"/>
      <c r="AH465" s="91"/>
      <c r="AI465" s="91"/>
      <c r="AJ465" s="91"/>
      <c r="AK465" s="91"/>
      <c r="AL465" s="91"/>
      <c r="AM465" s="91"/>
      <c r="AN465" s="91"/>
    </row>
    <row r="466">
      <c r="A466" s="164"/>
      <c r="B466" s="165"/>
      <c r="C466" s="165"/>
      <c r="D466" s="164"/>
      <c r="E466" s="164"/>
      <c r="F466" s="164"/>
      <c r="G466" s="91"/>
      <c r="H466" s="91"/>
      <c r="I466" s="91"/>
      <c r="J466" s="91"/>
      <c r="K466" s="160"/>
      <c r="L466" s="160"/>
      <c r="M466" s="160"/>
      <c r="N466" s="160"/>
      <c r="O466" s="160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91"/>
      <c r="AD466" s="91"/>
      <c r="AE466" s="91"/>
      <c r="AF466" s="91"/>
      <c r="AG466" s="91"/>
      <c r="AH466" s="91"/>
      <c r="AI466" s="91"/>
      <c r="AJ466" s="91"/>
      <c r="AK466" s="91"/>
      <c r="AL466" s="91"/>
      <c r="AM466" s="91"/>
      <c r="AN466" s="91"/>
    </row>
    <row r="467">
      <c r="A467" s="164"/>
      <c r="B467" s="165"/>
      <c r="C467" s="165"/>
      <c r="D467" s="164"/>
      <c r="E467" s="164"/>
      <c r="F467" s="164"/>
      <c r="G467" s="91"/>
      <c r="H467" s="91"/>
      <c r="I467" s="91"/>
      <c r="J467" s="91"/>
      <c r="K467" s="160"/>
      <c r="L467" s="160"/>
      <c r="M467" s="160"/>
      <c r="N467" s="160"/>
      <c r="O467" s="160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  <c r="AC467" s="91"/>
      <c r="AD467" s="91"/>
      <c r="AE467" s="91"/>
      <c r="AF467" s="91"/>
      <c r="AG467" s="91"/>
      <c r="AH467" s="91"/>
      <c r="AI467" s="91"/>
      <c r="AJ467" s="91"/>
      <c r="AK467" s="91"/>
      <c r="AL467" s="91"/>
      <c r="AM467" s="91"/>
      <c r="AN467" s="91"/>
    </row>
    <row r="468">
      <c r="A468" s="164"/>
      <c r="B468" s="165"/>
      <c r="C468" s="165"/>
      <c r="D468" s="164"/>
      <c r="E468" s="164"/>
      <c r="F468" s="164"/>
      <c r="G468" s="91"/>
      <c r="H468" s="91"/>
      <c r="I468" s="91"/>
      <c r="J468" s="91"/>
      <c r="K468" s="160"/>
      <c r="L468" s="160"/>
      <c r="M468" s="160"/>
      <c r="N468" s="160"/>
      <c r="O468" s="160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  <c r="AC468" s="91"/>
      <c r="AD468" s="91"/>
      <c r="AE468" s="91"/>
      <c r="AF468" s="91"/>
      <c r="AG468" s="91"/>
      <c r="AH468" s="91"/>
      <c r="AI468" s="91"/>
      <c r="AJ468" s="91"/>
      <c r="AK468" s="91"/>
      <c r="AL468" s="91"/>
      <c r="AM468" s="91"/>
      <c r="AN468" s="91"/>
    </row>
    <row r="469">
      <c r="A469" s="164"/>
      <c r="B469" s="165"/>
      <c r="C469" s="165"/>
      <c r="D469" s="164"/>
      <c r="E469" s="164"/>
      <c r="F469" s="164"/>
      <c r="G469" s="91"/>
      <c r="H469" s="91"/>
      <c r="I469" s="91"/>
      <c r="J469" s="91"/>
      <c r="K469" s="160"/>
      <c r="L469" s="160"/>
      <c r="M469" s="160"/>
      <c r="N469" s="160"/>
      <c r="O469" s="160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  <c r="AC469" s="91"/>
      <c r="AD469" s="91"/>
      <c r="AE469" s="91"/>
      <c r="AF469" s="91"/>
      <c r="AG469" s="91"/>
      <c r="AH469" s="91"/>
      <c r="AI469" s="91"/>
      <c r="AJ469" s="91"/>
      <c r="AK469" s="91"/>
      <c r="AL469" s="91"/>
      <c r="AM469" s="91"/>
      <c r="AN469" s="91"/>
    </row>
    <row r="470">
      <c r="A470" s="164"/>
      <c r="B470" s="165"/>
      <c r="C470" s="165"/>
      <c r="D470" s="164"/>
      <c r="E470" s="164"/>
      <c r="F470" s="164"/>
      <c r="G470" s="91"/>
      <c r="H470" s="91"/>
      <c r="I470" s="91"/>
      <c r="J470" s="91"/>
      <c r="K470" s="160"/>
      <c r="L470" s="160"/>
      <c r="M470" s="160"/>
      <c r="N470" s="160"/>
      <c r="O470" s="160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  <c r="AF470" s="91"/>
      <c r="AG470" s="91"/>
      <c r="AH470" s="91"/>
      <c r="AI470" s="91"/>
      <c r="AJ470" s="91"/>
      <c r="AK470" s="91"/>
      <c r="AL470" s="91"/>
      <c r="AM470" s="91"/>
      <c r="AN470" s="91"/>
    </row>
    <row r="471">
      <c r="A471" s="164"/>
      <c r="B471" s="165"/>
      <c r="C471" s="165"/>
      <c r="D471" s="164"/>
      <c r="E471" s="164"/>
      <c r="F471" s="164"/>
      <c r="G471" s="91"/>
      <c r="H471" s="91"/>
      <c r="I471" s="91"/>
      <c r="J471" s="91"/>
      <c r="K471" s="160"/>
      <c r="L471" s="160"/>
      <c r="M471" s="160"/>
      <c r="N471" s="160"/>
      <c r="O471" s="160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  <c r="AE471" s="91"/>
      <c r="AF471" s="91"/>
      <c r="AG471" s="91"/>
      <c r="AH471" s="91"/>
      <c r="AI471" s="91"/>
      <c r="AJ471" s="91"/>
      <c r="AK471" s="91"/>
      <c r="AL471" s="91"/>
      <c r="AM471" s="91"/>
      <c r="AN471" s="91"/>
    </row>
    <row r="472">
      <c r="A472" s="164"/>
      <c r="B472" s="165"/>
      <c r="C472" s="165"/>
      <c r="D472" s="164"/>
      <c r="E472" s="164"/>
      <c r="F472" s="164"/>
      <c r="G472" s="91"/>
      <c r="H472" s="91"/>
      <c r="I472" s="91"/>
      <c r="J472" s="91"/>
      <c r="K472" s="160"/>
      <c r="L472" s="160"/>
      <c r="M472" s="160"/>
      <c r="N472" s="160"/>
      <c r="O472" s="160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  <c r="AE472" s="91"/>
      <c r="AF472" s="91"/>
      <c r="AG472" s="91"/>
      <c r="AH472" s="91"/>
      <c r="AI472" s="91"/>
      <c r="AJ472" s="91"/>
      <c r="AK472" s="91"/>
      <c r="AL472" s="91"/>
      <c r="AM472" s="91"/>
      <c r="AN472" s="91"/>
    </row>
    <row r="473">
      <c r="A473" s="164"/>
      <c r="B473" s="165"/>
      <c r="C473" s="165"/>
      <c r="D473" s="164"/>
      <c r="E473" s="164"/>
      <c r="F473" s="164"/>
      <c r="G473" s="91"/>
      <c r="H473" s="91"/>
      <c r="I473" s="91"/>
      <c r="J473" s="91"/>
      <c r="K473" s="160"/>
      <c r="L473" s="160"/>
      <c r="M473" s="160"/>
      <c r="N473" s="160"/>
      <c r="O473" s="160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  <c r="AF473" s="91"/>
      <c r="AG473" s="91"/>
      <c r="AH473" s="91"/>
      <c r="AI473" s="91"/>
      <c r="AJ473" s="91"/>
      <c r="AK473" s="91"/>
      <c r="AL473" s="91"/>
      <c r="AM473" s="91"/>
      <c r="AN473" s="91"/>
    </row>
    <row r="474">
      <c r="A474" s="164"/>
      <c r="B474" s="165"/>
      <c r="C474" s="165"/>
      <c r="D474" s="164"/>
      <c r="E474" s="164"/>
      <c r="F474" s="164"/>
      <c r="G474" s="91"/>
      <c r="H474" s="91"/>
      <c r="I474" s="91"/>
      <c r="J474" s="91"/>
      <c r="K474" s="160"/>
      <c r="L474" s="160"/>
      <c r="M474" s="160"/>
      <c r="N474" s="160"/>
      <c r="O474" s="160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  <c r="AE474" s="91"/>
      <c r="AF474" s="91"/>
      <c r="AG474" s="91"/>
      <c r="AH474" s="91"/>
      <c r="AI474" s="91"/>
      <c r="AJ474" s="91"/>
      <c r="AK474" s="91"/>
      <c r="AL474" s="91"/>
      <c r="AM474" s="91"/>
      <c r="AN474" s="91"/>
    </row>
    <row r="475">
      <c r="A475" s="164"/>
      <c r="B475" s="165"/>
      <c r="C475" s="165"/>
      <c r="D475" s="164"/>
      <c r="E475" s="164"/>
      <c r="F475" s="164"/>
      <c r="G475" s="91"/>
      <c r="H475" s="91"/>
      <c r="I475" s="91"/>
      <c r="J475" s="91"/>
      <c r="K475" s="160"/>
      <c r="L475" s="160"/>
      <c r="M475" s="160"/>
      <c r="N475" s="160"/>
      <c r="O475" s="160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  <c r="AC475" s="91"/>
      <c r="AD475" s="91"/>
      <c r="AE475" s="91"/>
      <c r="AF475" s="91"/>
      <c r="AG475" s="91"/>
      <c r="AH475" s="91"/>
      <c r="AI475" s="91"/>
      <c r="AJ475" s="91"/>
      <c r="AK475" s="91"/>
      <c r="AL475" s="91"/>
      <c r="AM475" s="91"/>
      <c r="AN475" s="91"/>
    </row>
    <row r="476">
      <c r="A476" s="164"/>
      <c r="B476" s="165"/>
      <c r="C476" s="165"/>
      <c r="D476" s="164"/>
      <c r="E476" s="164"/>
      <c r="F476" s="164"/>
      <c r="G476" s="91"/>
      <c r="H476" s="91"/>
      <c r="I476" s="91"/>
      <c r="J476" s="91"/>
      <c r="K476" s="160"/>
      <c r="L476" s="160"/>
      <c r="M476" s="160"/>
      <c r="N476" s="160"/>
      <c r="O476" s="160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91"/>
      <c r="AD476" s="91"/>
      <c r="AE476" s="91"/>
      <c r="AF476" s="91"/>
      <c r="AG476" s="91"/>
      <c r="AH476" s="91"/>
      <c r="AI476" s="91"/>
      <c r="AJ476" s="91"/>
      <c r="AK476" s="91"/>
      <c r="AL476" s="91"/>
      <c r="AM476" s="91"/>
      <c r="AN476" s="91"/>
    </row>
    <row r="477">
      <c r="A477" s="164"/>
      <c r="B477" s="165"/>
      <c r="C477" s="165"/>
      <c r="D477" s="164"/>
      <c r="E477" s="164"/>
      <c r="F477" s="164"/>
      <c r="G477" s="91"/>
      <c r="H477" s="91"/>
      <c r="I477" s="91"/>
      <c r="J477" s="91"/>
      <c r="K477" s="160"/>
      <c r="L477" s="160"/>
      <c r="M477" s="160"/>
      <c r="N477" s="160"/>
      <c r="O477" s="160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  <c r="AC477" s="91"/>
      <c r="AD477" s="91"/>
      <c r="AE477" s="91"/>
      <c r="AF477" s="91"/>
      <c r="AG477" s="91"/>
      <c r="AH477" s="91"/>
      <c r="AI477" s="91"/>
      <c r="AJ477" s="91"/>
      <c r="AK477" s="91"/>
      <c r="AL477" s="91"/>
      <c r="AM477" s="91"/>
      <c r="AN477" s="91"/>
    </row>
    <row r="478">
      <c r="A478" s="164"/>
      <c r="B478" s="165"/>
      <c r="C478" s="165"/>
      <c r="D478" s="164"/>
      <c r="E478" s="164"/>
      <c r="F478" s="164"/>
      <c r="G478" s="91"/>
      <c r="H478" s="91"/>
      <c r="I478" s="91"/>
      <c r="J478" s="91"/>
      <c r="K478" s="160"/>
      <c r="L478" s="160"/>
      <c r="M478" s="160"/>
      <c r="N478" s="160"/>
      <c r="O478" s="160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91"/>
      <c r="AD478" s="91"/>
      <c r="AE478" s="91"/>
      <c r="AF478" s="91"/>
      <c r="AG478" s="91"/>
      <c r="AH478" s="91"/>
      <c r="AI478" s="91"/>
      <c r="AJ478" s="91"/>
      <c r="AK478" s="91"/>
      <c r="AL478" s="91"/>
      <c r="AM478" s="91"/>
      <c r="AN478" s="91"/>
    </row>
    <row r="479">
      <c r="A479" s="164"/>
      <c r="B479" s="165"/>
      <c r="C479" s="165"/>
      <c r="D479" s="164"/>
      <c r="E479" s="164"/>
      <c r="F479" s="164"/>
      <c r="G479" s="91"/>
      <c r="H479" s="91"/>
      <c r="I479" s="91"/>
      <c r="J479" s="91"/>
      <c r="K479" s="160"/>
      <c r="L479" s="160"/>
      <c r="M479" s="160"/>
      <c r="N479" s="160"/>
      <c r="O479" s="160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91"/>
      <c r="AD479" s="91"/>
      <c r="AE479" s="91"/>
      <c r="AF479" s="91"/>
      <c r="AG479" s="91"/>
      <c r="AH479" s="91"/>
      <c r="AI479" s="91"/>
      <c r="AJ479" s="91"/>
      <c r="AK479" s="91"/>
      <c r="AL479" s="91"/>
      <c r="AM479" s="91"/>
      <c r="AN479" s="91"/>
    </row>
    <row r="480">
      <c r="A480" s="164"/>
      <c r="B480" s="165"/>
      <c r="C480" s="165"/>
      <c r="D480" s="164"/>
      <c r="E480" s="164"/>
      <c r="F480" s="164"/>
      <c r="G480" s="91"/>
      <c r="H480" s="91"/>
      <c r="I480" s="91"/>
      <c r="J480" s="91"/>
      <c r="K480" s="160"/>
      <c r="L480" s="160"/>
      <c r="M480" s="160"/>
      <c r="N480" s="160"/>
      <c r="O480" s="160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91"/>
      <c r="AD480" s="91"/>
      <c r="AE480" s="91"/>
      <c r="AF480" s="91"/>
      <c r="AG480" s="91"/>
      <c r="AH480" s="91"/>
      <c r="AI480" s="91"/>
      <c r="AJ480" s="91"/>
      <c r="AK480" s="91"/>
      <c r="AL480" s="91"/>
      <c r="AM480" s="91"/>
      <c r="AN480" s="91"/>
    </row>
    <row r="481">
      <c r="A481" s="164"/>
      <c r="B481" s="165"/>
      <c r="C481" s="165"/>
      <c r="D481" s="164"/>
      <c r="E481" s="164"/>
      <c r="F481" s="164"/>
      <c r="G481" s="91"/>
      <c r="H481" s="91"/>
      <c r="I481" s="91"/>
      <c r="J481" s="91"/>
      <c r="K481" s="160"/>
      <c r="L481" s="160"/>
      <c r="M481" s="160"/>
      <c r="N481" s="160"/>
      <c r="O481" s="160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91"/>
      <c r="AD481" s="91"/>
      <c r="AE481" s="91"/>
      <c r="AF481" s="91"/>
      <c r="AG481" s="91"/>
      <c r="AH481" s="91"/>
      <c r="AI481" s="91"/>
      <c r="AJ481" s="91"/>
      <c r="AK481" s="91"/>
      <c r="AL481" s="91"/>
      <c r="AM481" s="91"/>
      <c r="AN481" s="91"/>
    </row>
    <row r="482">
      <c r="A482" s="164"/>
      <c r="B482" s="165"/>
      <c r="C482" s="165"/>
      <c r="D482" s="164"/>
      <c r="E482" s="164"/>
      <c r="F482" s="164"/>
      <c r="G482" s="91"/>
      <c r="H482" s="91"/>
      <c r="I482" s="91"/>
      <c r="J482" s="91"/>
      <c r="K482" s="160"/>
      <c r="L482" s="160"/>
      <c r="M482" s="160"/>
      <c r="N482" s="160"/>
      <c r="O482" s="160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  <c r="AD482" s="91"/>
      <c r="AE482" s="91"/>
      <c r="AF482" s="91"/>
      <c r="AG482" s="91"/>
      <c r="AH482" s="91"/>
      <c r="AI482" s="91"/>
      <c r="AJ482" s="91"/>
      <c r="AK482" s="91"/>
      <c r="AL482" s="91"/>
      <c r="AM482" s="91"/>
      <c r="AN482" s="91"/>
    </row>
    <row r="483">
      <c r="A483" s="164"/>
      <c r="B483" s="165"/>
      <c r="C483" s="165"/>
      <c r="D483" s="164"/>
      <c r="E483" s="164"/>
      <c r="F483" s="164"/>
      <c r="G483" s="91"/>
      <c r="H483" s="91"/>
      <c r="I483" s="91"/>
      <c r="J483" s="91"/>
      <c r="K483" s="160"/>
      <c r="L483" s="160"/>
      <c r="M483" s="160"/>
      <c r="N483" s="160"/>
      <c r="O483" s="160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  <c r="AE483" s="91"/>
      <c r="AF483" s="91"/>
      <c r="AG483" s="91"/>
      <c r="AH483" s="91"/>
      <c r="AI483" s="91"/>
      <c r="AJ483" s="91"/>
      <c r="AK483" s="91"/>
      <c r="AL483" s="91"/>
      <c r="AM483" s="91"/>
      <c r="AN483" s="91"/>
    </row>
    <row r="484">
      <c r="A484" s="164"/>
      <c r="B484" s="165"/>
      <c r="C484" s="165"/>
      <c r="D484" s="164"/>
      <c r="E484" s="164"/>
      <c r="F484" s="164"/>
      <c r="G484" s="91"/>
      <c r="H484" s="91"/>
      <c r="I484" s="91"/>
      <c r="J484" s="91"/>
      <c r="K484" s="160"/>
      <c r="L484" s="160"/>
      <c r="M484" s="160"/>
      <c r="N484" s="160"/>
      <c r="O484" s="160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  <c r="AD484" s="91"/>
      <c r="AE484" s="91"/>
      <c r="AF484" s="91"/>
      <c r="AG484" s="91"/>
      <c r="AH484" s="91"/>
      <c r="AI484" s="91"/>
      <c r="AJ484" s="91"/>
      <c r="AK484" s="91"/>
      <c r="AL484" s="91"/>
      <c r="AM484" s="91"/>
      <c r="AN484" s="91"/>
    </row>
    <row r="485">
      <c r="A485" s="164"/>
      <c r="B485" s="165"/>
      <c r="C485" s="165"/>
      <c r="D485" s="164"/>
      <c r="E485" s="164"/>
      <c r="F485" s="164"/>
      <c r="G485" s="91"/>
      <c r="H485" s="91"/>
      <c r="I485" s="91"/>
      <c r="J485" s="91"/>
      <c r="K485" s="160"/>
      <c r="L485" s="160"/>
      <c r="M485" s="160"/>
      <c r="N485" s="160"/>
      <c r="O485" s="160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  <c r="AD485" s="91"/>
      <c r="AE485" s="91"/>
      <c r="AF485" s="91"/>
      <c r="AG485" s="91"/>
      <c r="AH485" s="91"/>
      <c r="AI485" s="91"/>
      <c r="AJ485" s="91"/>
      <c r="AK485" s="91"/>
      <c r="AL485" s="91"/>
      <c r="AM485" s="91"/>
      <c r="AN485" s="91"/>
    </row>
    <row r="486">
      <c r="A486" s="164"/>
      <c r="B486" s="165"/>
      <c r="C486" s="165"/>
      <c r="D486" s="164"/>
      <c r="E486" s="164"/>
      <c r="F486" s="164"/>
      <c r="G486" s="91"/>
      <c r="H486" s="91"/>
      <c r="I486" s="91"/>
      <c r="J486" s="91"/>
      <c r="K486" s="160"/>
      <c r="L486" s="160"/>
      <c r="M486" s="160"/>
      <c r="N486" s="160"/>
      <c r="O486" s="160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  <c r="AD486" s="91"/>
      <c r="AE486" s="91"/>
      <c r="AF486" s="91"/>
      <c r="AG486" s="91"/>
      <c r="AH486" s="91"/>
      <c r="AI486" s="91"/>
      <c r="AJ486" s="91"/>
      <c r="AK486" s="91"/>
      <c r="AL486" s="91"/>
      <c r="AM486" s="91"/>
      <c r="AN486" s="91"/>
    </row>
    <row r="487">
      <c r="A487" s="164"/>
      <c r="B487" s="165"/>
      <c r="C487" s="165"/>
      <c r="D487" s="164"/>
      <c r="E487" s="164"/>
      <c r="F487" s="164"/>
      <c r="G487" s="91"/>
      <c r="H487" s="91"/>
      <c r="I487" s="91"/>
      <c r="J487" s="91"/>
      <c r="K487" s="160"/>
      <c r="L487" s="160"/>
      <c r="M487" s="160"/>
      <c r="N487" s="160"/>
      <c r="O487" s="160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  <c r="AC487" s="91"/>
      <c r="AD487" s="91"/>
      <c r="AE487" s="91"/>
      <c r="AF487" s="91"/>
      <c r="AG487" s="91"/>
      <c r="AH487" s="91"/>
      <c r="AI487" s="91"/>
      <c r="AJ487" s="91"/>
      <c r="AK487" s="91"/>
      <c r="AL487" s="91"/>
      <c r="AM487" s="91"/>
      <c r="AN487" s="91"/>
    </row>
    <row r="488">
      <c r="A488" s="164"/>
      <c r="B488" s="165"/>
      <c r="C488" s="165"/>
      <c r="D488" s="164"/>
      <c r="E488" s="164"/>
      <c r="F488" s="164"/>
      <c r="G488" s="91"/>
      <c r="H488" s="91"/>
      <c r="I488" s="91"/>
      <c r="J488" s="91"/>
      <c r="K488" s="160"/>
      <c r="L488" s="160"/>
      <c r="M488" s="160"/>
      <c r="N488" s="160"/>
      <c r="O488" s="160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91"/>
      <c r="AD488" s="91"/>
      <c r="AE488" s="91"/>
      <c r="AF488" s="91"/>
      <c r="AG488" s="91"/>
      <c r="AH488" s="91"/>
      <c r="AI488" s="91"/>
      <c r="AJ488" s="91"/>
      <c r="AK488" s="91"/>
      <c r="AL488" s="91"/>
      <c r="AM488" s="91"/>
      <c r="AN488" s="91"/>
    </row>
    <row r="489">
      <c r="A489" s="164"/>
      <c r="B489" s="165"/>
      <c r="C489" s="165"/>
      <c r="D489" s="164"/>
      <c r="E489" s="164"/>
      <c r="F489" s="164"/>
      <c r="G489" s="91"/>
      <c r="H489" s="91"/>
      <c r="I489" s="91"/>
      <c r="J489" s="91"/>
      <c r="K489" s="160"/>
      <c r="L489" s="160"/>
      <c r="M489" s="160"/>
      <c r="N489" s="160"/>
      <c r="O489" s="160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  <c r="AC489" s="91"/>
      <c r="AD489" s="91"/>
      <c r="AE489" s="91"/>
      <c r="AF489" s="91"/>
      <c r="AG489" s="91"/>
      <c r="AH489" s="91"/>
      <c r="AI489" s="91"/>
      <c r="AJ489" s="91"/>
      <c r="AK489" s="91"/>
      <c r="AL489" s="91"/>
      <c r="AM489" s="91"/>
      <c r="AN489" s="91"/>
    </row>
    <row r="490">
      <c r="A490" s="164"/>
      <c r="B490" s="165"/>
      <c r="C490" s="165"/>
      <c r="D490" s="164"/>
      <c r="E490" s="164"/>
      <c r="F490" s="164"/>
      <c r="G490" s="91"/>
      <c r="H490" s="91"/>
      <c r="I490" s="91"/>
      <c r="J490" s="91"/>
      <c r="K490" s="160"/>
      <c r="L490" s="160"/>
      <c r="M490" s="160"/>
      <c r="N490" s="160"/>
      <c r="O490" s="160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  <c r="AC490" s="91"/>
      <c r="AD490" s="91"/>
      <c r="AE490" s="91"/>
      <c r="AF490" s="91"/>
      <c r="AG490" s="91"/>
      <c r="AH490" s="91"/>
      <c r="AI490" s="91"/>
      <c r="AJ490" s="91"/>
      <c r="AK490" s="91"/>
      <c r="AL490" s="91"/>
      <c r="AM490" s="91"/>
      <c r="AN490" s="91"/>
    </row>
    <row r="491">
      <c r="A491" s="164"/>
      <c r="B491" s="165"/>
      <c r="C491" s="165"/>
      <c r="D491" s="164"/>
      <c r="E491" s="164"/>
      <c r="F491" s="164"/>
      <c r="G491" s="91"/>
      <c r="H491" s="91"/>
      <c r="I491" s="91"/>
      <c r="J491" s="91"/>
      <c r="K491" s="160"/>
      <c r="L491" s="160"/>
      <c r="M491" s="160"/>
      <c r="N491" s="160"/>
      <c r="O491" s="160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  <c r="AC491" s="91"/>
      <c r="AD491" s="91"/>
      <c r="AE491" s="91"/>
      <c r="AF491" s="91"/>
      <c r="AG491" s="91"/>
      <c r="AH491" s="91"/>
      <c r="AI491" s="91"/>
      <c r="AJ491" s="91"/>
      <c r="AK491" s="91"/>
      <c r="AL491" s="91"/>
      <c r="AM491" s="91"/>
      <c r="AN491" s="91"/>
    </row>
    <row r="492">
      <c r="A492" s="164"/>
      <c r="B492" s="165"/>
      <c r="C492" s="165"/>
      <c r="D492" s="164"/>
      <c r="E492" s="164"/>
      <c r="F492" s="164"/>
      <c r="G492" s="91"/>
      <c r="H492" s="91"/>
      <c r="I492" s="91"/>
      <c r="J492" s="91"/>
      <c r="K492" s="160"/>
      <c r="L492" s="160"/>
      <c r="M492" s="160"/>
      <c r="N492" s="160"/>
      <c r="O492" s="160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  <c r="AC492" s="91"/>
      <c r="AD492" s="91"/>
      <c r="AE492" s="91"/>
      <c r="AF492" s="91"/>
      <c r="AG492" s="91"/>
      <c r="AH492" s="91"/>
      <c r="AI492" s="91"/>
      <c r="AJ492" s="91"/>
      <c r="AK492" s="91"/>
      <c r="AL492" s="91"/>
      <c r="AM492" s="91"/>
      <c r="AN492" s="91"/>
    </row>
    <row r="493">
      <c r="A493" s="164"/>
      <c r="B493" s="165"/>
      <c r="C493" s="165"/>
      <c r="D493" s="164"/>
      <c r="E493" s="164"/>
      <c r="F493" s="164"/>
      <c r="G493" s="91"/>
      <c r="H493" s="91"/>
      <c r="I493" s="91"/>
      <c r="J493" s="91"/>
      <c r="K493" s="160"/>
      <c r="L493" s="160"/>
      <c r="M493" s="160"/>
      <c r="N493" s="160"/>
      <c r="O493" s="160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  <c r="AC493" s="91"/>
      <c r="AD493" s="91"/>
      <c r="AE493" s="91"/>
      <c r="AF493" s="91"/>
      <c r="AG493" s="91"/>
      <c r="AH493" s="91"/>
      <c r="AI493" s="91"/>
      <c r="AJ493" s="91"/>
      <c r="AK493" s="91"/>
      <c r="AL493" s="91"/>
      <c r="AM493" s="91"/>
      <c r="AN493" s="91"/>
    </row>
    <row r="494">
      <c r="A494" s="164"/>
      <c r="B494" s="165"/>
      <c r="C494" s="165"/>
      <c r="D494" s="164"/>
      <c r="E494" s="164"/>
      <c r="F494" s="164"/>
      <c r="G494" s="91"/>
      <c r="H494" s="91"/>
      <c r="I494" s="91"/>
      <c r="J494" s="91"/>
      <c r="K494" s="160"/>
      <c r="L494" s="160"/>
      <c r="M494" s="160"/>
      <c r="N494" s="160"/>
      <c r="O494" s="160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91"/>
      <c r="AD494" s="91"/>
      <c r="AE494" s="91"/>
      <c r="AF494" s="91"/>
      <c r="AG494" s="91"/>
      <c r="AH494" s="91"/>
      <c r="AI494" s="91"/>
      <c r="AJ494" s="91"/>
      <c r="AK494" s="91"/>
      <c r="AL494" s="91"/>
      <c r="AM494" s="91"/>
      <c r="AN494" s="91"/>
    </row>
    <row r="495">
      <c r="A495" s="164"/>
      <c r="B495" s="165"/>
      <c r="C495" s="165"/>
      <c r="D495" s="164"/>
      <c r="E495" s="164"/>
      <c r="F495" s="164"/>
      <c r="G495" s="91"/>
      <c r="H495" s="91"/>
      <c r="I495" s="91"/>
      <c r="J495" s="91"/>
      <c r="K495" s="160"/>
      <c r="L495" s="160"/>
      <c r="M495" s="160"/>
      <c r="N495" s="160"/>
      <c r="O495" s="160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91"/>
      <c r="AD495" s="91"/>
      <c r="AE495" s="91"/>
      <c r="AF495" s="91"/>
      <c r="AG495" s="91"/>
      <c r="AH495" s="91"/>
      <c r="AI495" s="91"/>
      <c r="AJ495" s="91"/>
      <c r="AK495" s="91"/>
      <c r="AL495" s="91"/>
      <c r="AM495" s="91"/>
      <c r="AN495" s="91"/>
    </row>
    <row r="496">
      <c r="A496" s="164"/>
      <c r="B496" s="165"/>
      <c r="C496" s="165"/>
      <c r="D496" s="164"/>
      <c r="E496" s="164"/>
      <c r="F496" s="164"/>
      <c r="G496" s="91"/>
      <c r="H496" s="91"/>
      <c r="I496" s="91"/>
      <c r="J496" s="91"/>
      <c r="K496" s="160"/>
      <c r="L496" s="160"/>
      <c r="M496" s="160"/>
      <c r="N496" s="160"/>
      <c r="O496" s="160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  <c r="AC496" s="91"/>
      <c r="AD496" s="91"/>
      <c r="AE496" s="91"/>
      <c r="AF496" s="91"/>
      <c r="AG496" s="91"/>
      <c r="AH496" s="91"/>
      <c r="AI496" s="91"/>
      <c r="AJ496" s="91"/>
      <c r="AK496" s="91"/>
      <c r="AL496" s="91"/>
      <c r="AM496" s="91"/>
      <c r="AN496" s="91"/>
    </row>
    <row r="497">
      <c r="A497" s="164"/>
      <c r="B497" s="165"/>
      <c r="C497" s="165"/>
      <c r="D497" s="164"/>
      <c r="E497" s="164"/>
      <c r="F497" s="164"/>
      <c r="G497" s="91"/>
      <c r="H497" s="91"/>
      <c r="I497" s="91"/>
      <c r="J497" s="91"/>
      <c r="K497" s="160"/>
      <c r="L497" s="160"/>
      <c r="M497" s="160"/>
      <c r="N497" s="160"/>
      <c r="O497" s="160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91"/>
      <c r="AD497" s="91"/>
      <c r="AE497" s="91"/>
      <c r="AF497" s="91"/>
      <c r="AG497" s="91"/>
      <c r="AH497" s="91"/>
      <c r="AI497" s="91"/>
      <c r="AJ497" s="91"/>
      <c r="AK497" s="91"/>
      <c r="AL497" s="91"/>
      <c r="AM497" s="91"/>
      <c r="AN497" s="91"/>
    </row>
    <row r="498">
      <c r="A498" s="164"/>
      <c r="B498" s="165"/>
      <c r="C498" s="165"/>
      <c r="D498" s="164"/>
      <c r="E498" s="164"/>
      <c r="F498" s="164"/>
      <c r="G498" s="91"/>
      <c r="H498" s="91"/>
      <c r="I498" s="91"/>
      <c r="J498" s="91"/>
      <c r="K498" s="160"/>
      <c r="L498" s="160"/>
      <c r="M498" s="160"/>
      <c r="N498" s="160"/>
      <c r="O498" s="160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91"/>
      <c r="AD498" s="91"/>
      <c r="AE498" s="91"/>
      <c r="AF498" s="91"/>
      <c r="AG498" s="91"/>
      <c r="AH498" s="91"/>
      <c r="AI498" s="91"/>
      <c r="AJ498" s="91"/>
      <c r="AK498" s="91"/>
      <c r="AL498" s="91"/>
      <c r="AM498" s="91"/>
      <c r="AN498" s="91"/>
    </row>
    <row r="499">
      <c r="A499" s="164"/>
      <c r="B499" s="165"/>
      <c r="C499" s="165"/>
      <c r="D499" s="164"/>
      <c r="E499" s="164"/>
      <c r="F499" s="164"/>
      <c r="G499" s="91"/>
      <c r="H499" s="91"/>
      <c r="I499" s="91"/>
      <c r="J499" s="91"/>
      <c r="K499" s="160"/>
      <c r="L499" s="160"/>
      <c r="M499" s="160"/>
      <c r="N499" s="160"/>
      <c r="O499" s="160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  <c r="AC499" s="91"/>
      <c r="AD499" s="91"/>
      <c r="AE499" s="91"/>
      <c r="AF499" s="91"/>
      <c r="AG499" s="91"/>
      <c r="AH499" s="91"/>
      <c r="AI499" s="91"/>
      <c r="AJ499" s="91"/>
      <c r="AK499" s="91"/>
      <c r="AL499" s="91"/>
      <c r="AM499" s="91"/>
      <c r="AN499" s="91"/>
    </row>
    <row r="500">
      <c r="A500" s="164"/>
      <c r="B500" s="165"/>
      <c r="C500" s="165"/>
      <c r="D500" s="164"/>
      <c r="E500" s="164"/>
      <c r="F500" s="164"/>
      <c r="G500" s="91"/>
      <c r="H500" s="91"/>
      <c r="I500" s="91"/>
      <c r="J500" s="91"/>
      <c r="K500" s="160"/>
      <c r="L500" s="160"/>
      <c r="M500" s="160"/>
      <c r="N500" s="160"/>
      <c r="O500" s="160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  <c r="AC500" s="91"/>
      <c r="AD500" s="91"/>
      <c r="AE500" s="91"/>
      <c r="AF500" s="91"/>
      <c r="AG500" s="91"/>
      <c r="AH500" s="91"/>
      <c r="AI500" s="91"/>
      <c r="AJ500" s="91"/>
      <c r="AK500" s="91"/>
      <c r="AL500" s="91"/>
      <c r="AM500" s="91"/>
      <c r="AN500" s="91"/>
    </row>
    <row r="501">
      <c r="A501" s="164"/>
      <c r="B501" s="165"/>
      <c r="C501" s="165"/>
      <c r="D501" s="164"/>
      <c r="E501" s="164"/>
      <c r="F501" s="164"/>
      <c r="G501" s="91"/>
      <c r="H501" s="91"/>
      <c r="I501" s="91"/>
      <c r="J501" s="91"/>
      <c r="K501" s="160"/>
      <c r="L501" s="160"/>
      <c r="M501" s="160"/>
      <c r="N501" s="160"/>
      <c r="O501" s="160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  <c r="AC501" s="91"/>
      <c r="AD501" s="91"/>
      <c r="AE501" s="91"/>
      <c r="AF501" s="91"/>
      <c r="AG501" s="91"/>
      <c r="AH501" s="91"/>
      <c r="AI501" s="91"/>
      <c r="AJ501" s="91"/>
      <c r="AK501" s="91"/>
      <c r="AL501" s="91"/>
      <c r="AM501" s="91"/>
      <c r="AN501" s="91"/>
    </row>
    <row r="502">
      <c r="A502" s="164"/>
      <c r="B502" s="165"/>
      <c r="C502" s="165"/>
      <c r="D502" s="164"/>
      <c r="E502" s="164"/>
      <c r="F502" s="164"/>
      <c r="G502" s="91"/>
      <c r="H502" s="91"/>
      <c r="I502" s="91"/>
      <c r="J502" s="91"/>
      <c r="K502" s="160"/>
      <c r="L502" s="160"/>
      <c r="M502" s="160"/>
      <c r="N502" s="160"/>
      <c r="O502" s="160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  <c r="AC502" s="91"/>
      <c r="AD502" s="91"/>
      <c r="AE502" s="91"/>
      <c r="AF502" s="91"/>
      <c r="AG502" s="91"/>
      <c r="AH502" s="91"/>
      <c r="AI502" s="91"/>
      <c r="AJ502" s="91"/>
      <c r="AK502" s="91"/>
      <c r="AL502" s="91"/>
      <c r="AM502" s="91"/>
      <c r="AN502" s="91"/>
    </row>
    <row r="503">
      <c r="A503" s="164"/>
      <c r="B503" s="165"/>
      <c r="C503" s="165"/>
      <c r="D503" s="164"/>
      <c r="E503" s="164"/>
      <c r="F503" s="164"/>
      <c r="G503" s="91"/>
      <c r="H503" s="91"/>
      <c r="I503" s="91"/>
      <c r="J503" s="91"/>
      <c r="K503" s="160"/>
      <c r="L503" s="160"/>
      <c r="M503" s="160"/>
      <c r="N503" s="160"/>
      <c r="O503" s="160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  <c r="AC503" s="91"/>
      <c r="AD503" s="91"/>
      <c r="AE503" s="91"/>
      <c r="AF503" s="91"/>
      <c r="AG503" s="91"/>
      <c r="AH503" s="91"/>
      <c r="AI503" s="91"/>
      <c r="AJ503" s="91"/>
      <c r="AK503" s="91"/>
      <c r="AL503" s="91"/>
      <c r="AM503" s="91"/>
      <c r="AN503" s="91"/>
    </row>
    <row r="504">
      <c r="A504" s="164"/>
      <c r="B504" s="165"/>
      <c r="C504" s="165"/>
      <c r="D504" s="164"/>
      <c r="E504" s="164"/>
      <c r="F504" s="164"/>
      <c r="G504" s="91"/>
      <c r="H504" s="91"/>
      <c r="I504" s="91"/>
      <c r="J504" s="91"/>
      <c r="K504" s="160"/>
      <c r="L504" s="160"/>
      <c r="M504" s="160"/>
      <c r="N504" s="160"/>
      <c r="O504" s="160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  <c r="AC504" s="91"/>
      <c r="AD504" s="91"/>
      <c r="AE504" s="91"/>
      <c r="AF504" s="91"/>
      <c r="AG504" s="91"/>
      <c r="AH504" s="91"/>
      <c r="AI504" s="91"/>
      <c r="AJ504" s="91"/>
      <c r="AK504" s="91"/>
      <c r="AL504" s="91"/>
      <c r="AM504" s="91"/>
      <c r="AN504" s="91"/>
    </row>
    <row r="505">
      <c r="A505" s="164"/>
      <c r="B505" s="165"/>
      <c r="C505" s="165"/>
      <c r="D505" s="164"/>
      <c r="E505" s="164"/>
      <c r="F505" s="164"/>
      <c r="G505" s="91"/>
      <c r="H505" s="91"/>
      <c r="I505" s="91"/>
      <c r="J505" s="91"/>
      <c r="K505" s="160"/>
      <c r="L505" s="160"/>
      <c r="M505" s="160"/>
      <c r="N505" s="160"/>
      <c r="O505" s="160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  <c r="AC505" s="91"/>
      <c r="AD505" s="91"/>
      <c r="AE505" s="91"/>
      <c r="AF505" s="91"/>
      <c r="AG505" s="91"/>
      <c r="AH505" s="91"/>
      <c r="AI505" s="91"/>
      <c r="AJ505" s="91"/>
      <c r="AK505" s="91"/>
      <c r="AL505" s="91"/>
      <c r="AM505" s="91"/>
      <c r="AN505" s="91"/>
    </row>
    <row r="506">
      <c r="A506" s="164"/>
      <c r="B506" s="165"/>
      <c r="C506" s="165"/>
      <c r="D506" s="164"/>
      <c r="E506" s="164"/>
      <c r="F506" s="164"/>
      <c r="G506" s="91"/>
      <c r="H506" s="91"/>
      <c r="I506" s="91"/>
      <c r="J506" s="91"/>
      <c r="K506" s="160"/>
      <c r="L506" s="160"/>
      <c r="M506" s="160"/>
      <c r="N506" s="160"/>
      <c r="O506" s="160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91"/>
      <c r="AD506" s="91"/>
      <c r="AE506" s="91"/>
      <c r="AF506" s="91"/>
      <c r="AG506" s="91"/>
      <c r="AH506" s="91"/>
      <c r="AI506" s="91"/>
      <c r="AJ506" s="91"/>
      <c r="AK506" s="91"/>
      <c r="AL506" s="91"/>
      <c r="AM506" s="91"/>
      <c r="AN506" s="91"/>
    </row>
    <row r="507">
      <c r="A507" s="164"/>
      <c r="B507" s="165"/>
      <c r="C507" s="165"/>
      <c r="D507" s="164"/>
      <c r="E507" s="164"/>
      <c r="F507" s="164"/>
      <c r="G507" s="91"/>
      <c r="H507" s="91"/>
      <c r="I507" s="91"/>
      <c r="J507" s="91"/>
      <c r="K507" s="160"/>
      <c r="L507" s="160"/>
      <c r="M507" s="160"/>
      <c r="N507" s="160"/>
      <c r="O507" s="160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91"/>
      <c r="AD507" s="91"/>
      <c r="AE507" s="91"/>
      <c r="AF507" s="91"/>
      <c r="AG507" s="91"/>
      <c r="AH507" s="91"/>
      <c r="AI507" s="91"/>
      <c r="AJ507" s="91"/>
      <c r="AK507" s="91"/>
      <c r="AL507" s="91"/>
      <c r="AM507" s="91"/>
      <c r="AN507" s="91"/>
    </row>
    <row r="508">
      <c r="A508" s="164"/>
      <c r="B508" s="165"/>
      <c r="C508" s="165"/>
      <c r="D508" s="164"/>
      <c r="E508" s="164"/>
      <c r="F508" s="164"/>
      <c r="G508" s="91"/>
      <c r="H508" s="91"/>
      <c r="I508" s="91"/>
      <c r="J508" s="91"/>
      <c r="K508" s="160"/>
      <c r="L508" s="160"/>
      <c r="M508" s="160"/>
      <c r="N508" s="160"/>
      <c r="O508" s="160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91"/>
      <c r="AD508" s="91"/>
      <c r="AE508" s="91"/>
      <c r="AF508" s="91"/>
      <c r="AG508" s="91"/>
      <c r="AH508" s="91"/>
      <c r="AI508" s="91"/>
      <c r="AJ508" s="91"/>
      <c r="AK508" s="91"/>
      <c r="AL508" s="91"/>
      <c r="AM508" s="91"/>
      <c r="AN508" s="91"/>
    </row>
    <row r="509">
      <c r="A509" s="164"/>
      <c r="B509" s="165"/>
      <c r="C509" s="165"/>
      <c r="D509" s="164"/>
      <c r="E509" s="164"/>
      <c r="F509" s="164"/>
      <c r="G509" s="91"/>
      <c r="H509" s="91"/>
      <c r="I509" s="91"/>
      <c r="J509" s="91"/>
      <c r="K509" s="160"/>
      <c r="L509" s="160"/>
      <c r="M509" s="160"/>
      <c r="N509" s="160"/>
      <c r="O509" s="160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  <c r="AC509" s="91"/>
      <c r="AD509" s="91"/>
      <c r="AE509" s="91"/>
      <c r="AF509" s="91"/>
      <c r="AG509" s="91"/>
      <c r="AH509" s="91"/>
      <c r="AI509" s="91"/>
      <c r="AJ509" s="91"/>
      <c r="AK509" s="91"/>
      <c r="AL509" s="91"/>
      <c r="AM509" s="91"/>
      <c r="AN509" s="91"/>
    </row>
    <row r="510">
      <c r="A510" s="164"/>
      <c r="B510" s="165"/>
      <c r="C510" s="165"/>
      <c r="D510" s="164"/>
      <c r="E510" s="164"/>
      <c r="F510" s="164"/>
      <c r="G510" s="91"/>
      <c r="H510" s="91"/>
      <c r="I510" s="91"/>
      <c r="J510" s="91"/>
      <c r="K510" s="160"/>
      <c r="L510" s="160"/>
      <c r="M510" s="160"/>
      <c r="N510" s="160"/>
      <c r="O510" s="160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  <c r="AD510" s="91"/>
      <c r="AE510" s="91"/>
      <c r="AF510" s="91"/>
      <c r="AG510" s="91"/>
      <c r="AH510" s="91"/>
      <c r="AI510" s="91"/>
      <c r="AJ510" s="91"/>
      <c r="AK510" s="91"/>
      <c r="AL510" s="91"/>
      <c r="AM510" s="91"/>
      <c r="AN510" s="91"/>
    </row>
    <row r="511">
      <c r="A511" s="164"/>
      <c r="B511" s="165"/>
      <c r="C511" s="165"/>
      <c r="D511" s="164"/>
      <c r="E511" s="164"/>
      <c r="F511" s="164"/>
      <c r="G511" s="91"/>
      <c r="H511" s="91"/>
      <c r="I511" s="91"/>
      <c r="J511" s="91"/>
      <c r="K511" s="160"/>
      <c r="L511" s="160"/>
      <c r="M511" s="160"/>
      <c r="N511" s="160"/>
      <c r="O511" s="160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  <c r="AC511" s="91"/>
      <c r="AD511" s="91"/>
      <c r="AE511" s="91"/>
      <c r="AF511" s="91"/>
      <c r="AG511" s="91"/>
      <c r="AH511" s="91"/>
      <c r="AI511" s="91"/>
      <c r="AJ511" s="91"/>
      <c r="AK511" s="91"/>
      <c r="AL511" s="91"/>
      <c r="AM511" s="91"/>
      <c r="AN511" s="91"/>
    </row>
    <row r="512">
      <c r="A512" s="164"/>
      <c r="B512" s="165"/>
      <c r="C512" s="165"/>
      <c r="D512" s="164"/>
      <c r="E512" s="164"/>
      <c r="F512" s="164"/>
      <c r="G512" s="91"/>
      <c r="H512" s="91"/>
      <c r="I512" s="91"/>
      <c r="J512" s="91"/>
      <c r="K512" s="160"/>
      <c r="L512" s="160"/>
      <c r="M512" s="160"/>
      <c r="N512" s="160"/>
      <c r="O512" s="160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  <c r="AC512" s="91"/>
      <c r="AD512" s="91"/>
      <c r="AE512" s="91"/>
      <c r="AF512" s="91"/>
      <c r="AG512" s="91"/>
      <c r="AH512" s="91"/>
      <c r="AI512" s="91"/>
      <c r="AJ512" s="91"/>
      <c r="AK512" s="91"/>
      <c r="AL512" s="91"/>
      <c r="AM512" s="91"/>
      <c r="AN512" s="91"/>
    </row>
    <row r="513">
      <c r="A513" s="164"/>
      <c r="B513" s="165"/>
      <c r="C513" s="165"/>
      <c r="D513" s="164"/>
      <c r="E513" s="164"/>
      <c r="F513" s="164"/>
      <c r="G513" s="91"/>
      <c r="H513" s="91"/>
      <c r="I513" s="91"/>
      <c r="J513" s="91"/>
      <c r="K513" s="160"/>
      <c r="L513" s="160"/>
      <c r="M513" s="160"/>
      <c r="N513" s="160"/>
      <c r="O513" s="160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  <c r="AC513" s="91"/>
      <c r="AD513" s="91"/>
      <c r="AE513" s="91"/>
      <c r="AF513" s="91"/>
      <c r="AG513" s="91"/>
      <c r="AH513" s="91"/>
      <c r="AI513" s="91"/>
      <c r="AJ513" s="91"/>
      <c r="AK513" s="91"/>
      <c r="AL513" s="91"/>
      <c r="AM513" s="91"/>
      <c r="AN513" s="91"/>
    </row>
    <row r="514">
      <c r="A514" s="164"/>
      <c r="B514" s="165"/>
      <c r="C514" s="165"/>
      <c r="D514" s="164"/>
      <c r="E514" s="164"/>
      <c r="F514" s="164"/>
      <c r="G514" s="91"/>
      <c r="H514" s="91"/>
      <c r="I514" s="91"/>
      <c r="J514" s="91"/>
      <c r="K514" s="160"/>
      <c r="L514" s="160"/>
      <c r="M514" s="160"/>
      <c r="N514" s="160"/>
      <c r="O514" s="160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  <c r="AC514" s="91"/>
      <c r="AD514" s="91"/>
      <c r="AE514" s="91"/>
      <c r="AF514" s="91"/>
      <c r="AG514" s="91"/>
      <c r="AH514" s="91"/>
      <c r="AI514" s="91"/>
      <c r="AJ514" s="91"/>
      <c r="AK514" s="91"/>
      <c r="AL514" s="91"/>
      <c r="AM514" s="91"/>
      <c r="AN514" s="91"/>
    </row>
    <row r="515">
      <c r="A515" s="164"/>
      <c r="B515" s="165"/>
      <c r="C515" s="165"/>
      <c r="D515" s="164"/>
      <c r="E515" s="164"/>
      <c r="F515" s="164"/>
      <c r="G515" s="91"/>
      <c r="H515" s="91"/>
      <c r="I515" s="91"/>
      <c r="J515" s="91"/>
      <c r="K515" s="160"/>
      <c r="L515" s="160"/>
      <c r="M515" s="160"/>
      <c r="N515" s="160"/>
      <c r="O515" s="160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  <c r="AC515" s="91"/>
      <c r="AD515" s="91"/>
      <c r="AE515" s="91"/>
      <c r="AF515" s="91"/>
      <c r="AG515" s="91"/>
      <c r="AH515" s="91"/>
      <c r="AI515" s="91"/>
      <c r="AJ515" s="91"/>
      <c r="AK515" s="91"/>
      <c r="AL515" s="91"/>
      <c r="AM515" s="91"/>
      <c r="AN515" s="91"/>
    </row>
    <row r="516">
      <c r="A516" s="164"/>
      <c r="B516" s="165"/>
      <c r="C516" s="165"/>
      <c r="D516" s="164"/>
      <c r="E516" s="164"/>
      <c r="F516" s="164"/>
      <c r="G516" s="91"/>
      <c r="H516" s="91"/>
      <c r="I516" s="91"/>
      <c r="J516" s="91"/>
      <c r="K516" s="160"/>
      <c r="L516" s="160"/>
      <c r="M516" s="160"/>
      <c r="N516" s="160"/>
      <c r="O516" s="160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  <c r="AC516" s="91"/>
      <c r="AD516" s="91"/>
      <c r="AE516" s="91"/>
      <c r="AF516" s="91"/>
      <c r="AG516" s="91"/>
      <c r="AH516" s="91"/>
      <c r="AI516" s="91"/>
      <c r="AJ516" s="91"/>
      <c r="AK516" s="91"/>
      <c r="AL516" s="91"/>
      <c r="AM516" s="91"/>
      <c r="AN516" s="91"/>
    </row>
    <row r="517">
      <c r="A517" s="164"/>
      <c r="B517" s="165"/>
      <c r="C517" s="165"/>
      <c r="D517" s="164"/>
      <c r="E517" s="164"/>
      <c r="F517" s="164"/>
      <c r="G517" s="91"/>
      <c r="H517" s="91"/>
      <c r="I517" s="91"/>
      <c r="J517" s="91"/>
      <c r="K517" s="160"/>
      <c r="L517" s="160"/>
      <c r="M517" s="160"/>
      <c r="N517" s="160"/>
      <c r="O517" s="160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  <c r="AC517" s="91"/>
      <c r="AD517" s="91"/>
      <c r="AE517" s="91"/>
      <c r="AF517" s="91"/>
      <c r="AG517" s="91"/>
      <c r="AH517" s="91"/>
      <c r="AI517" s="91"/>
      <c r="AJ517" s="91"/>
      <c r="AK517" s="91"/>
      <c r="AL517" s="91"/>
      <c r="AM517" s="91"/>
      <c r="AN517" s="91"/>
    </row>
    <row r="518">
      <c r="A518" s="164"/>
      <c r="B518" s="165"/>
      <c r="C518" s="165"/>
      <c r="D518" s="164"/>
      <c r="E518" s="164"/>
      <c r="F518" s="164"/>
      <c r="G518" s="91"/>
      <c r="H518" s="91"/>
      <c r="I518" s="91"/>
      <c r="J518" s="91"/>
      <c r="K518" s="160"/>
      <c r="L518" s="160"/>
      <c r="M518" s="160"/>
      <c r="N518" s="160"/>
      <c r="O518" s="160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91"/>
      <c r="AD518" s="91"/>
      <c r="AE518" s="91"/>
      <c r="AF518" s="91"/>
      <c r="AG518" s="91"/>
      <c r="AH518" s="91"/>
      <c r="AI518" s="91"/>
      <c r="AJ518" s="91"/>
      <c r="AK518" s="91"/>
      <c r="AL518" s="91"/>
      <c r="AM518" s="91"/>
      <c r="AN518" s="91"/>
    </row>
    <row r="519">
      <c r="A519" s="164"/>
      <c r="B519" s="165"/>
      <c r="C519" s="165"/>
      <c r="D519" s="164"/>
      <c r="E519" s="164"/>
      <c r="F519" s="164"/>
      <c r="G519" s="91"/>
      <c r="H519" s="91"/>
      <c r="I519" s="91"/>
      <c r="J519" s="91"/>
      <c r="K519" s="160"/>
      <c r="L519" s="160"/>
      <c r="M519" s="160"/>
      <c r="N519" s="160"/>
      <c r="O519" s="160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91"/>
      <c r="AD519" s="91"/>
      <c r="AE519" s="91"/>
      <c r="AF519" s="91"/>
      <c r="AG519" s="91"/>
      <c r="AH519" s="91"/>
      <c r="AI519" s="91"/>
      <c r="AJ519" s="91"/>
      <c r="AK519" s="91"/>
      <c r="AL519" s="91"/>
      <c r="AM519" s="91"/>
      <c r="AN519" s="91"/>
    </row>
    <row r="520">
      <c r="A520" s="164"/>
      <c r="B520" s="165"/>
      <c r="C520" s="165"/>
      <c r="D520" s="164"/>
      <c r="E520" s="164"/>
      <c r="F520" s="164"/>
      <c r="G520" s="91"/>
      <c r="H520" s="91"/>
      <c r="I520" s="91"/>
      <c r="J520" s="91"/>
      <c r="K520" s="160"/>
      <c r="L520" s="160"/>
      <c r="M520" s="160"/>
      <c r="N520" s="160"/>
      <c r="O520" s="160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91"/>
      <c r="AD520" s="91"/>
      <c r="AE520" s="91"/>
      <c r="AF520" s="91"/>
      <c r="AG520" s="91"/>
      <c r="AH520" s="91"/>
      <c r="AI520" s="91"/>
      <c r="AJ520" s="91"/>
      <c r="AK520" s="91"/>
      <c r="AL520" s="91"/>
      <c r="AM520" s="91"/>
      <c r="AN520" s="91"/>
    </row>
    <row r="521">
      <c r="A521" s="164"/>
      <c r="B521" s="165"/>
      <c r="C521" s="165"/>
      <c r="D521" s="164"/>
      <c r="E521" s="164"/>
      <c r="F521" s="164"/>
      <c r="G521" s="91"/>
      <c r="H521" s="91"/>
      <c r="I521" s="91"/>
      <c r="J521" s="91"/>
      <c r="K521" s="160"/>
      <c r="L521" s="160"/>
      <c r="M521" s="160"/>
      <c r="N521" s="160"/>
      <c r="O521" s="160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91"/>
      <c r="AD521" s="91"/>
      <c r="AE521" s="91"/>
      <c r="AF521" s="91"/>
      <c r="AG521" s="91"/>
      <c r="AH521" s="91"/>
      <c r="AI521" s="91"/>
      <c r="AJ521" s="91"/>
      <c r="AK521" s="91"/>
      <c r="AL521" s="91"/>
      <c r="AM521" s="91"/>
      <c r="AN521" s="91"/>
    </row>
    <row r="522">
      <c r="A522" s="164"/>
      <c r="B522" s="165"/>
      <c r="C522" s="165"/>
      <c r="D522" s="164"/>
      <c r="E522" s="164"/>
      <c r="F522" s="164"/>
      <c r="G522" s="91"/>
      <c r="H522" s="91"/>
      <c r="I522" s="91"/>
      <c r="J522" s="91"/>
      <c r="K522" s="160"/>
      <c r="L522" s="160"/>
      <c r="M522" s="160"/>
      <c r="N522" s="160"/>
      <c r="O522" s="160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91"/>
      <c r="AD522" s="91"/>
      <c r="AE522" s="91"/>
      <c r="AF522" s="91"/>
      <c r="AG522" s="91"/>
      <c r="AH522" s="91"/>
      <c r="AI522" s="91"/>
      <c r="AJ522" s="91"/>
      <c r="AK522" s="91"/>
      <c r="AL522" s="91"/>
      <c r="AM522" s="91"/>
      <c r="AN522" s="91"/>
    </row>
    <row r="523">
      <c r="A523" s="164"/>
      <c r="B523" s="165"/>
      <c r="C523" s="165"/>
      <c r="D523" s="164"/>
      <c r="E523" s="164"/>
      <c r="F523" s="164"/>
      <c r="G523" s="91"/>
      <c r="H523" s="91"/>
      <c r="I523" s="91"/>
      <c r="J523" s="91"/>
      <c r="K523" s="160"/>
      <c r="L523" s="160"/>
      <c r="M523" s="160"/>
      <c r="N523" s="160"/>
      <c r="O523" s="160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  <c r="AC523" s="91"/>
      <c r="AD523" s="91"/>
      <c r="AE523" s="91"/>
      <c r="AF523" s="91"/>
      <c r="AG523" s="91"/>
      <c r="AH523" s="91"/>
      <c r="AI523" s="91"/>
      <c r="AJ523" s="91"/>
      <c r="AK523" s="91"/>
      <c r="AL523" s="91"/>
      <c r="AM523" s="91"/>
      <c r="AN523" s="91"/>
    </row>
    <row r="524">
      <c r="A524" s="164"/>
      <c r="B524" s="165"/>
      <c r="C524" s="165"/>
      <c r="D524" s="164"/>
      <c r="E524" s="164"/>
      <c r="F524" s="164"/>
      <c r="G524" s="91"/>
      <c r="H524" s="91"/>
      <c r="I524" s="91"/>
      <c r="J524" s="91"/>
      <c r="K524" s="160"/>
      <c r="L524" s="160"/>
      <c r="M524" s="160"/>
      <c r="N524" s="160"/>
      <c r="O524" s="160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  <c r="AC524" s="91"/>
      <c r="AD524" s="91"/>
      <c r="AE524" s="91"/>
      <c r="AF524" s="91"/>
      <c r="AG524" s="91"/>
      <c r="AH524" s="91"/>
      <c r="AI524" s="91"/>
      <c r="AJ524" s="91"/>
      <c r="AK524" s="91"/>
      <c r="AL524" s="91"/>
      <c r="AM524" s="91"/>
      <c r="AN524" s="91"/>
    </row>
    <row r="525">
      <c r="A525" s="164"/>
      <c r="B525" s="165"/>
      <c r="C525" s="165"/>
      <c r="D525" s="164"/>
      <c r="E525" s="164"/>
      <c r="F525" s="164"/>
      <c r="G525" s="91"/>
      <c r="H525" s="91"/>
      <c r="I525" s="91"/>
      <c r="J525" s="91"/>
      <c r="K525" s="160"/>
      <c r="L525" s="160"/>
      <c r="M525" s="160"/>
      <c r="N525" s="160"/>
      <c r="O525" s="160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  <c r="AC525" s="91"/>
      <c r="AD525" s="91"/>
      <c r="AE525" s="91"/>
      <c r="AF525" s="91"/>
      <c r="AG525" s="91"/>
      <c r="AH525" s="91"/>
      <c r="AI525" s="91"/>
      <c r="AJ525" s="91"/>
      <c r="AK525" s="91"/>
      <c r="AL525" s="91"/>
      <c r="AM525" s="91"/>
      <c r="AN525" s="91"/>
    </row>
    <row r="526">
      <c r="A526" s="164"/>
      <c r="B526" s="165"/>
      <c r="C526" s="165"/>
      <c r="D526" s="164"/>
      <c r="E526" s="164"/>
      <c r="F526" s="164"/>
      <c r="G526" s="91"/>
      <c r="H526" s="91"/>
      <c r="I526" s="91"/>
      <c r="J526" s="91"/>
      <c r="K526" s="160"/>
      <c r="L526" s="160"/>
      <c r="M526" s="160"/>
      <c r="N526" s="160"/>
      <c r="O526" s="160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  <c r="AC526" s="91"/>
      <c r="AD526" s="91"/>
      <c r="AE526" s="91"/>
      <c r="AF526" s="91"/>
      <c r="AG526" s="91"/>
      <c r="AH526" s="91"/>
      <c r="AI526" s="91"/>
      <c r="AJ526" s="91"/>
      <c r="AK526" s="91"/>
      <c r="AL526" s="91"/>
      <c r="AM526" s="91"/>
      <c r="AN526" s="91"/>
    </row>
    <row r="527">
      <c r="A527" s="164"/>
      <c r="B527" s="165"/>
      <c r="C527" s="165"/>
      <c r="D527" s="164"/>
      <c r="E527" s="164"/>
      <c r="F527" s="164"/>
      <c r="G527" s="91"/>
      <c r="H527" s="91"/>
      <c r="I527" s="91"/>
      <c r="J527" s="91"/>
      <c r="K527" s="160"/>
      <c r="L527" s="160"/>
      <c r="M527" s="160"/>
      <c r="N527" s="160"/>
      <c r="O527" s="160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  <c r="AC527" s="91"/>
      <c r="AD527" s="91"/>
      <c r="AE527" s="91"/>
      <c r="AF527" s="91"/>
      <c r="AG527" s="91"/>
      <c r="AH527" s="91"/>
      <c r="AI527" s="91"/>
      <c r="AJ527" s="91"/>
      <c r="AK527" s="91"/>
      <c r="AL527" s="91"/>
      <c r="AM527" s="91"/>
      <c r="AN527" s="91"/>
    </row>
    <row r="528">
      <c r="A528" s="164"/>
      <c r="B528" s="165"/>
      <c r="C528" s="165"/>
      <c r="D528" s="164"/>
      <c r="E528" s="164"/>
      <c r="F528" s="164"/>
      <c r="G528" s="91"/>
      <c r="H528" s="91"/>
      <c r="I528" s="91"/>
      <c r="J528" s="91"/>
      <c r="K528" s="160"/>
      <c r="L528" s="160"/>
      <c r="M528" s="160"/>
      <c r="N528" s="160"/>
      <c r="O528" s="160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  <c r="AC528" s="91"/>
      <c r="AD528" s="91"/>
      <c r="AE528" s="91"/>
      <c r="AF528" s="91"/>
      <c r="AG528" s="91"/>
      <c r="AH528" s="91"/>
      <c r="AI528" s="91"/>
      <c r="AJ528" s="91"/>
      <c r="AK528" s="91"/>
      <c r="AL528" s="91"/>
      <c r="AM528" s="91"/>
      <c r="AN528" s="91"/>
    </row>
    <row r="529">
      <c r="A529" s="164"/>
      <c r="B529" s="165"/>
      <c r="C529" s="165"/>
      <c r="D529" s="164"/>
      <c r="E529" s="164"/>
      <c r="F529" s="164"/>
      <c r="G529" s="91"/>
      <c r="H529" s="91"/>
      <c r="I529" s="91"/>
      <c r="J529" s="91"/>
      <c r="K529" s="160"/>
      <c r="L529" s="160"/>
      <c r="M529" s="160"/>
      <c r="N529" s="160"/>
      <c r="O529" s="160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  <c r="AC529" s="91"/>
      <c r="AD529" s="91"/>
      <c r="AE529" s="91"/>
      <c r="AF529" s="91"/>
      <c r="AG529" s="91"/>
      <c r="AH529" s="91"/>
      <c r="AI529" s="91"/>
      <c r="AJ529" s="91"/>
      <c r="AK529" s="91"/>
      <c r="AL529" s="91"/>
      <c r="AM529" s="91"/>
      <c r="AN529" s="91"/>
    </row>
    <row r="530">
      <c r="A530" s="164"/>
      <c r="B530" s="165"/>
      <c r="C530" s="165"/>
      <c r="D530" s="164"/>
      <c r="E530" s="164"/>
      <c r="F530" s="164"/>
      <c r="G530" s="91"/>
      <c r="H530" s="91"/>
      <c r="I530" s="91"/>
      <c r="J530" s="91"/>
      <c r="K530" s="160"/>
      <c r="L530" s="160"/>
      <c r="M530" s="160"/>
      <c r="N530" s="160"/>
      <c r="O530" s="160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  <c r="AC530" s="91"/>
      <c r="AD530" s="91"/>
      <c r="AE530" s="91"/>
      <c r="AF530" s="91"/>
      <c r="AG530" s="91"/>
      <c r="AH530" s="91"/>
      <c r="AI530" s="91"/>
      <c r="AJ530" s="91"/>
      <c r="AK530" s="91"/>
      <c r="AL530" s="91"/>
      <c r="AM530" s="91"/>
      <c r="AN530" s="91"/>
    </row>
    <row r="531">
      <c r="A531" s="164"/>
      <c r="B531" s="165"/>
      <c r="C531" s="165"/>
      <c r="D531" s="164"/>
      <c r="E531" s="164"/>
      <c r="F531" s="164"/>
      <c r="G531" s="91"/>
      <c r="H531" s="91"/>
      <c r="I531" s="91"/>
      <c r="J531" s="91"/>
      <c r="K531" s="160"/>
      <c r="L531" s="160"/>
      <c r="M531" s="160"/>
      <c r="N531" s="160"/>
      <c r="O531" s="160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  <c r="AC531" s="91"/>
      <c r="AD531" s="91"/>
      <c r="AE531" s="91"/>
      <c r="AF531" s="91"/>
      <c r="AG531" s="91"/>
      <c r="AH531" s="91"/>
      <c r="AI531" s="91"/>
      <c r="AJ531" s="91"/>
      <c r="AK531" s="91"/>
      <c r="AL531" s="91"/>
      <c r="AM531" s="91"/>
      <c r="AN531" s="91"/>
    </row>
    <row r="532">
      <c r="A532" s="164"/>
      <c r="B532" s="165"/>
      <c r="C532" s="165"/>
      <c r="D532" s="164"/>
      <c r="E532" s="164"/>
      <c r="F532" s="164"/>
      <c r="G532" s="91"/>
      <c r="H532" s="91"/>
      <c r="I532" s="91"/>
      <c r="J532" s="91"/>
      <c r="K532" s="160"/>
      <c r="L532" s="160"/>
      <c r="M532" s="160"/>
      <c r="N532" s="160"/>
      <c r="O532" s="160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  <c r="AC532" s="91"/>
      <c r="AD532" s="91"/>
      <c r="AE532" s="91"/>
      <c r="AF532" s="91"/>
      <c r="AG532" s="91"/>
      <c r="AH532" s="91"/>
      <c r="AI532" s="91"/>
      <c r="AJ532" s="91"/>
      <c r="AK532" s="91"/>
      <c r="AL532" s="91"/>
      <c r="AM532" s="91"/>
      <c r="AN532" s="91"/>
    </row>
    <row r="533">
      <c r="A533" s="164"/>
      <c r="B533" s="165"/>
      <c r="C533" s="165"/>
      <c r="D533" s="164"/>
      <c r="E533" s="164"/>
      <c r="F533" s="164"/>
      <c r="G533" s="91"/>
      <c r="H533" s="91"/>
      <c r="I533" s="91"/>
      <c r="J533" s="91"/>
      <c r="K533" s="160"/>
      <c r="L533" s="160"/>
      <c r="M533" s="160"/>
      <c r="N533" s="160"/>
      <c r="O533" s="160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  <c r="AC533" s="91"/>
      <c r="AD533" s="91"/>
      <c r="AE533" s="91"/>
      <c r="AF533" s="91"/>
      <c r="AG533" s="91"/>
      <c r="AH533" s="91"/>
      <c r="AI533" s="91"/>
      <c r="AJ533" s="91"/>
      <c r="AK533" s="91"/>
      <c r="AL533" s="91"/>
      <c r="AM533" s="91"/>
      <c r="AN533" s="91"/>
    </row>
    <row r="534">
      <c r="A534" s="164"/>
      <c r="B534" s="165"/>
      <c r="C534" s="165"/>
      <c r="D534" s="164"/>
      <c r="E534" s="164"/>
      <c r="F534" s="164"/>
      <c r="G534" s="91"/>
      <c r="H534" s="91"/>
      <c r="I534" s="91"/>
      <c r="J534" s="91"/>
      <c r="K534" s="160"/>
      <c r="L534" s="160"/>
      <c r="M534" s="160"/>
      <c r="N534" s="160"/>
      <c r="O534" s="160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  <c r="AC534" s="91"/>
      <c r="AD534" s="91"/>
      <c r="AE534" s="91"/>
      <c r="AF534" s="91"/>
      <c r="AG534" s="91"/>
      <c r="AH534" s="91"/>
      <c r="AI534" s="91"/>
      <c r="AJ534" s="91"/>
      <c r="AK534" s="91"/>
      <c r="AL534" s="91"/>
      <c r="AM534" s="91"/>
      <c r="AN534" s="91"/>
    </row>
    <row r="535">
      <c r="A535" s="164"/>
      <c r="B535" s="165"/>
      <c r="C535" s="165"/>
      <c r="D535" s="164"/>
      <c r="E535" s="164"/>
      <c r="F535" s="164"/>
      <c r="G535" s="91"/>
      <c r="H535" s="91"/>
      <c r="I535" s="91"/>
      <c r="J535" s="91"/>
      <c r="K535" s="160"/>
      <c r="L535" s="160"/>
      <c r="M535" s="160"/>
      <c r="N535" s="160"/>
      <c r="O535" s="160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  <c r="AC535" s="91"/>
      <c r="AD535" s="91"/>
      <c r="AE535" s="91"/>
      <c r="AF535" s="91"/>
      <c r="AG535" s="91"/>
      <c r="AH535" s="91"/>
      <c r="AI535" s="91"/>
      <c r="AJ535" s="91"/>
      <c r="AK535" s="91"/>
      <c r="AL535" s="91"/>
      <c r="AM535" s="91"/>
      <c r="AN535" s="91"/>
    </row>
    <row r="536">
      <c r="A536" s="164"/>
      <c r="B536" s="165"/>
      <c r="C536" s="165"/>
      <c r="D536" s="164"/>
      <c r="E536" s="164"/>
      <c r="F536" s="164"/>
      <c r="G536" s="91"/>
      <c r="H536" s="91"/>
      <c r="I536" s="91"/>
      <c r="J536" s="91"/>
      <c r="K536" s="160"/>
      <c r="L536" s="160"/>
      <c r="M536" s="160"/>
      <c r="N536" s="160"/>
      <c r="O536" s="160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  <c r="AC536" s="91"/>
      <c r="AD536" s="91"/>
      <c r="AE536" s="91"/>
      <c r="AF536" s="91"/>
      <c r="AG536" s="91"/>
      <c r="AH536" s="91"/>
      <c r="AI536" s="91"/>
      <c r="AJ536" s="91"/>
      <c r="AK536" s="91"/>
      <c r="AL536" s="91"/>
      <c r="AM536" s="91"/>
      <c r="AN536" s="91"/>
    </row>
    <row r="537">
      <c r="A537" s="164"/>
      <c r="B537" s="165"/>
      <c r="C537" s="165"/>
      <c r="D537" s="164"/>
      <c r="E537" s="164"/>
      <c r="F537" s="164"/>
      <c r="G537" s="91"/>
      <c r="H537" s="91"/>
      <c r="I537" s="91"/>
      <c r="J537" s="91"/>
      <c r="K537" s="160"/>
      <c r="L537" s="160"/>
      <c r="M537" s="160"/>
      <c r="N537" s="160"/>
      <c r="O537" s="160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  <c r="AC537" s="91"/>
      <c r="AD537" s="91"/>
      <c r="AE537" s="91"/>
      <c r="AF537" s="91"/>
      <c r="AG537" s="91"/>
      <c r="AH537" s="91"/>
      <c r="AI537" s="91"/>
      <c r="AJ537" s="91"/>
      <c r="AK537" s="91"/>
      <c r="AL537" s="91"/>
      <c r="AM537" s="91"/>
      <c r="AN537" s="91"/>
    </row>
    <row r="538">
      <c r="A538" s="164"/>
      <c r="B538" s="165"/>
      <c r="C538" s="165"/>
      <c r="D538" s="164"/>
      <c r="E538" s="164"/>
      <c r="F538" s="164"/>
      <c r="G538" s="91"/>
      <c r="H538" s="91"/>
      <c r="I538" s="91"/>
      <c r="J538" s="91"/>
      <c r="K538" s="160"/>
      <c r="L538" s="160"/>
      <c r="M538" s="160"/>
      <c r="N538" s="160"/>
      <c r="O538" s="160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  <c r="AC538" s="91"/>
      <c r="AD538" s="91"/>
      <c r="AE538" s="91"/>
      <c r="AF538" s="91"/>
      <c r="AG538" s="91"/>
      <c r="AH538" s="91"/>
      <c r="AI538" s="91"/>
      <c r="AJ538" s="91"/>
      <c r="AK538" s="91"/>
      <c r="AL538" s="91"/>
      <c r="AM538" s="91"/>
      <c r="AN538" s="91"/>
    </row>
    <row r="539">
      <c r="A539" s="164"/>
      <c r="B539" s="165"/>
      <c r="C539" s="165"/>
      <c r="D539" s="164"/>
      <c r="E539" s="164"/>
      <c r="F539" s="164"/>
      <c r="G539" s="91"/>
      <c r="H539" s="91"/>
      <c r="I539" s="91"/>
      <c r="J539" s="91"/>
      <c r="K539" s="160"/>
      <c r="L539" s="160"/>
      <c r="M539" s="160"/>
      <c r="N539" s="160"/>
      <c r="O539" s="160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  <c r="AC539" s="91"/>
      <c r="AD539" s="91"/>
      <c r="AE539" s="91"/>
      <c r="AF539" s="91"/>
      <c r="AG539" s="91"/>
      <c r="AH539" s="91"/>
      <c r="AI539" s="91"/>
      <c r="AJ539" s="91"/>
      <c r="AK539" s="91"/>
      <c r="AL539" s="91"/>
      <c r="AM539" s="91"/>
      <c r="AN539" s="91"/>
    </row>
    <row r="540">
      <c r="A540" s="164"/>
      <c r="B540" s="165"/>
      <c r="C540" s="165"/>
      <c r="D540" s="164"/>
      <c r="E540" s="164"/>
      <c r="F540" s="164"/>
      <c r="G540" s="91"/>
      <c r="H540" s="91"/>
      <c r="I540" s="91"/>
      <c r="J540" s="91"/>
      <c r="K540" s="160"/>
      <c r="L540" s="160"/>
      <c r="M540" s="160"/>
      <c r="N540" s="160"/>
      <c r="O540" s="160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91"/>
      <c r="AD540" s="91"/>
      <c r="AE540" s="91"/>
      <c r="AF540" s="91"/>
      <c r="AG540" s="91"/>
      <c r="AH540" s="91"/>
      <c r="AI540" s="91"/>
      <c r="AJ540" s="91"/>
      <c r="AK540" s="91"/>
      <c r="AL540" s="91"/>
      <c r="AM540" s="91"/>
      <c r="AN540" s="91"/>
    </row>
    <row r="541">
      <c r="A541" s="164"/>
      <c r="B541" s="165"/>
      <c r="C541" s="165"/>
      <c r="D541" s="164"/>
      <c r="E541" s="164"/>
      <c r="F541" s="164"/>
      <c r="G541" s="91"/>
      <c r="H541" s="91"/>
      <c r="I541" s="91"/>
      <c r="J541" s="91"/>
      <c r="K541" s="160"/>
      <c r="L541" s="160"/>
      <c r="M541" s="160"/>
      <c r="N541" s="160"/>
      <c r="O541" s="160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  <c r="AC541" s="91"/>
      <c r="AD541" s="91"/>
      <c r="AE541" s="91"/>
      <c r="AF541" s="91"/>
      <c r="AG541" s="91"/>
      <c r="AH541" s="91"/>
      <c r="AI541" s="91"/>
      <c r="AJ541" s="91"/>
      <c r="AK541" s="91"/>
      <c r="AL541" s="91"/>
      <c r="AM541" s="91"/>
      <c r="AN541" s="91"/>
    </row>
    <row r="542">
      <c r="A542" s="164"/>
      <c r="B542" s="165"/>
      <c r="C542" s="165"/>
      <c r="D542" s="164"/>
      <c r="E542" s="164"/>
      <c r="F542" s="164"/>
      <c r="G542" s="91"/>
      <c r="H542" s="91"/>
      <c r="I542" s="91"/>
      <c r="J542" s="91"/>
      <c r="K542" s="160"/>
      <c r="L542" s="160"/>
      <c r="M542" s="160"/>
      <c r="N542" s="160"/>
      <c r="O542" s="160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91"/>
      <c r="AD542" s="91"/>
      <c r="AE542" s="91"/>
      <c r="AF542" s="91"/>
      <c r="AG542" s="91"/>
      <c r="AH542" s="91"/>
      <c r="AI542" s="91"/>
      <c r="AJ542" s="91"/>
      <c r="AK542" s="91"/>
      <c r="AL542" s="91"/>
      <c r="AM542" s="91"/>
      <c r="AN542" s="91"/>
    </row>
    <row r="543">
      <c r="A543" s="164"/>
      <c r="B543" s="165"/>
      <c r="C543" s="165"/>
      <c r="D543" s="164"/>
      <c r="E543" s="164"/>
      <c r="F543" s="164"/>
      <c r="G543" s="91"/>
      <c r="H543" s="91"/>
      <c r="I543" s="91"/>
      <c r="J543" s="91"/>
      <c r="K543" s="160"/>
      <c r="L543" s="160"/>
      <c r="M543" s="160"/>
      <c r="N543" s="160"/>
      <c r="O543" s="160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  <c r="AC543" s="91"/>
      <c r="AD543" s="91"/>
      <c r="AE543" s="91"/>
      <c r="AF543" s="91"/>
      <c r="AG543" s="91"/>
      <c r="AH543" s="91"/>
      <c r="AI543" s="91"/>
      <c r="AJ543" s="91"/>
      <c r="AK543" s="91"/>
      <c r="AL543" s="91"/>
      <c r="AM543" s="91"/>
      <c r="AN543" s="91"/>
    </row>
    <row r="544">
      <c r="A544" s="164"/>
      <c r="B544" s="165"/>
      <c r="C544" s="165"/>
      <c r="D544" s="164"/>
      <c r="E544" s="164"/>
      <c r="F544" s="164"/>
      <c r="G544" s="91"/>
      <c r="H544" s="91"/>
      <c r="I544" s="91"/>
      <c r="J544" s="91"/>
      <c r="K544" s="160"/>
      <c r="L544" s="160"/>
      <c r="M544" s="160"/>
      <c r="N544" s="160"/>
      <c r="O544" s="160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  <c r="AC544" s="91"/>
      <c r="AD544" s="91"/>
      <c r="AE544" s="91"/>
      <c r="AF544" s="91"/>
      <c r="AG544" s="91"/>
      <c r="AH544" s="91"/>
      <c r="AI544" s="91"/>
      <c r="AJ544" s="91"/>
      <c r="AK544" s="91"/>
      <c r="AL544" s="91"/>
      <c r="AM544" s="91"/>
      <c r="AN544" s="91"/>
    </row>
    <row r="545">
      <c r="A545" s="164"/>
      <c r="B545" s="165"/>
      <c r="C545" s="165"/>
      <c r="D545" s="164"/>
      <c r="E545" s="164"/>
      <c r="F545" s="164"/>
      <c r="G545" s="91"/>
      <c r="H545" s="91"/>
      <c r="I545" s="91"/>
      <c r="J545" s="91"/>
      <c r="K545" s="160"/>
      <c r="L545" s="160"/>
      <c r="M545" s="160"/>
      <c r="N545" s="160"/>
      <c r="O545" s="160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  <c r="AC545" s="91"/>
      <c r="AD545" s="91"/>
      <c r="AE545" s="91"/>
      <c r="AF545" s="91"/>
      <c r="AG545" s="91"/>
      <c r="AH545" s="91"/>
      <c r="AI545" s="91"/>
      <c r="AJ545" s="91"/>
      <c r="AK545" s="91"/>
      <c r="AL545" s="91"/>
      <c r="AM545" s="91"/>
      <c r="AN545" s="91"/>
    </row>
    <row r="546">
      <c r="A546" s="164"/>
      <c r="B546" s="165"/>
      <c r="C546" s="165"/>
      <c r="D546" s="164"/>
      <c r="E546" s="164"/>
      <c r="F546" s="164"/>
      <c r="G546" s="91"/>
      <c r="H546" s="91"/>
      <c r="I546" s="91"/>
      <c r="J546" s="91"/>
      <c r="K546" s="160"/>
      <c r="L546" s="160"/>
      <c r="M546" s="160"/>
      <c r="N546" s="160"/>
      <c r="O546" s="160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  <c r="AC546" s="91"/>
      <c r="AD546" s="91"/>
      <c r="AE546" s="91"/>
      <c r="AF546" s="91"/>
      <c r="AG546" s="91"/>
      <c r="AH546" s="91"/>
      <c r="AI546" s="91"/>
      <c r="AJ546" s="91"/>
      <c r="AK546" s="91"/>
      <c r="AL546" s="91"/>
      <c r="AM546" s="91"/>
      <c r="AN546" s="91"/>
    </row>
    <row r="547">
      <c r="A547" s="164"/>
      <c r="B547" s="165"/>
      <c r="C547" s="165"/>
      <c r="D547" s="164"/>
      <c r="E547" s="164"/>
      <c r="F547" s="164"/>
      <c r="G547" s="91"/>
      <c r="H547" s="91"/>
      <c r="I547" s="91"/>
      <c r="J547" s="91"/>
      <c r="K547" s="160"/>
      <c r="L547" s="160"/>
      <c r="M547" s="160"/>
      <c r="N547" s="160"/>
      <c r="O547" s="160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  <c r="AC547" s="91"/>
      <c r="AD547" s="91"/>
      <c r="AE547" s="91"/>
      <c r="AF547" s="91"/>
      <c r="AG547" s="91"/>
      <c r="AH547" s="91"/>
      <c r="AI547" s="91"/>
      <c r="AJ547" s="91"/>
      <c r="AK547" s="91"/>
      <c r="AL547" s="91"/>
      <c r="AM547" s="91"/>
      <c r="AN547" s="91"/>
    </row>
    <row r="548">
      <c r="A548" s="164"/>
      <c r="B548" s="165"/>
      <c r="C548" s="165"/>
      <c r="D548" s="164"/>
      <c r="E548" s="164"/>
      <c r="F548" s="164"/>
      <c r="G548" s="91"/>
      <c r="H548" s="91"/>
      <c r="I548" s="91"/>
      <c r="J548" s="91"/>
      <c r="K548" s="160"/>
      <c r="L548" s="160"/>
      <c r="M548" s="160"/>
      <c r="N548" s="160"/>
      <c r="O548" s="160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  <c r="AC548" s="91"/>
      <c r="AD548" s="91"/>
      <c r="AE548" s="91"/>
      <c r="AF548" s="91"/>
      <c r="AG548" s="91"/>
      <c r="AH548" s="91"/>
      <c r="AI548" s="91"/>
      <c r="AJ548" s="91"/>
      <c r="AK548" s="91"/>
      <c r="AL548" s="91"/>
      <c r="AM548" s="91"/>
      <c r="AN548" s="91"/>
    </row>
    <row r="549">
      <c r="A549" s="164"/>
      <c r="B549" s="165"/>
      <c r="C549" s="165"/>
      <c r="D549" s="164"/>
      <c r="E549" s="164"/>
      <c r="F549" s="164"/>
      <c r="G549" s="91"/>
      <c r="H549" s="91"/>
      <c r="I549" s="91"/>
      <c r="J549" s="91"/>
      <c r="K549" s="160"/>
      <c r="L549" s="160"/>
      <c r="M549" s="160"/>
      <c r="N549" s="160"/>
      <c r="O549" s="160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  <c r="AC549" s="91"/>
      <c r="AD549" s="91"/>
      <c r="AE549" s="91"/>
      <c r="AF549" s="91"/>
      <c r="AG549" s="91"/>
      <c r="AH549" s="91"/>
      <c r="AI549" s="91"/>
      <c r="AJ549" s="91"/>
      <c r="AK549" s="91"/>
      <c r="AL549" s="91"/>
      <c r="AM549" s="91"/>
      <c r="AN549" s="91"/>
    </row>
    <row r="550">
      <c r="A550" s="164"/>
      <c r="B550" s="165"/>
      <c r="C550" s="165"/>
      <c r="D550" s="164"/>
      <c r="E550" s="164"/>
      <c r="F550" s="164"/>
      <c r="G550" s="91"/>
      <c r="H550" s="91"/>
      <c r="I550" s="91"/>
      <c r="J550" s="91"/>
      <c r="K550" s="160"/>
      <c r="L550" s="160"/>
      <c r="M550" s="160"/>
      <c r="N550" s="160"/>
      <c r="O550" s="160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  <c r="AC550" s="91"/>
      <c r="AD550" s="91"/>
      <c r="AE550" s="91"/>
      <c r="AF550" s="91"/>
      <c r="AG550" s="91"/>
      <c r="AH550" s="91"/>
      <c r="AI550" s="91"/>
      <c r="AJ550" s="91"/>
      <c r="AK550" s="91"/>
      <c r="AL550" s="91"/>
      <c r="AM550" s="91"/>
      <c r="AN550" s="91"/>
    </row>
    <row r="551">
      <c r="A551" s="164"/>
      <c r="B551" s="165"/>
      <c r="C551" s="165"/>
      <c r="D551" s="164"/>
      <c r="E551" s="164"/>
      <c r="F551" s="164"/>
      <c r="G551" s="91"/>
      <c r="H551" s="91"/>
      <c r="I551" s="91"/>
      <c r="J551" s="91"/>
      <c r="K551" s="160"/>
      <c r="L551" s="160"/>
      <c r="M551" s="160"/>
      <c r="N551" s="160"/>
      <c r="O551" s="160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  <c r="AC551" s="91"/>
      <c r="AD551" s="91"/>
      <c r="AE551" s="91"/>
      <c r="AF551" s="91"/>
      <c r="AG551" s="91"/>
      <c r="AH551" s="91"/>
      <c r="AI551" s="91"/>
      <c r="AJ551" s="91"/>
      <c r="AK551" s="91"/>
      <c r="AL551" s="91"/>
      <c r="AM551" s="91"/>
      <c r="AN551" s="91"/>
    </row>
    <row r="552">
      <c r="A552" s="164"/>
      <c r="B552" s="165"/>
      <c r="C552" s="165"/>
      <c r="D552" s="164"/>
      <c r="E552" s="164"/>
      <c r="F552" s="164"/>
      <c r="G552" s="91"/>
      <c r="H552" s="91"/>
      <c r="I552" s="91"/>
      <c r="J552" s="91"/>
      <c r="K552" s="160"/>
      <c r="L552" s="160"/>
      <c r="M552" s="160"/>
      <c r="N552" s="160"/>
      <c r="O552" s="160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  <c r="AC552" s="91"/>
      <c r="AD552" s="91"/>
      <c r="AE552" s="91"/>
      <c r="AF552" s="91"/>
      <c r="AG552" s="91"/>
      <c r="AH552" s="91"/>
      <c r="AI552" s="91"/>
      <c r="AJ552" s="91"/>
      <c r="AK552" s="91"/>
      <c r="AL552" s="91"/>
      <c r="AM552" s="91"/>
      <c r="AN552" s="91"/>
    </row>
    <row r="553">
      <c r="A553" s="164"/>
      <c r="B553" s="165"/>
      <c r="C553" s="165"/>
      <c r="D553" s="164"/>
      <c r="E553" s="164"/>
      <c r="F553" s="164"/>
      <c r="G553" s="91"/>
      <c r="H553" s="91"/>
      <c r="I553" s="91"/>
      <c r="J553" s="91"/>
      <c r="K553" s="160"/>
      <c r="L553" s="160"/>
      <c r="M553" s="160"/>
      <c r="N553" s="160"/>
      <c r="O553" s="160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  <c r="AC553" s="91"/>
      <c r="AD553" s="91"/>
      <c r="AE553" s="91"/>
      <c r="AF553" s="91"/>
      <c r="AG553" s="91"/>
      <c r="AH553" s="91"/>
      <c r="AI553" s="91"/>
      <c r="AJ553" s="91"/>
      <c r="AK553" s="91"/>
      <c r="AL553" s="91"/>
      <c r="AM553" s="91"/>
      <c r="AN553" s="91"/>
    </row>
    <row r="554">
      <c r="A554" s="164"/>
      <c r="B554" s="165"/>
      <c r="C554" s="165"/>
      <c r="D554" s="164"/>
      <c r="E554" s="164"/>
      <c r="F554" s="164"/>
      <c r="G554" s="91"/>
      <c r="H554" s="91"/>
      <c r="I554" s="91"/>
      <c r="J554" s="91"/>
      <c r="K554" s="160"/>
      <c r="L554" s="160"/>
      <c r="M554" s="160"/>
      <c r="N554" s="160"/>
      <c r="O554" s="160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  <c r="AC554" s="91"/>
      <c r="AD554" s="91"/>
      <c r="AE554" s="91"/>
      <c r="AF554" s="91"/>
      <c r="AG554" s="91"/>
      <c r="AH554" s="91"/>
      <c r="AI554" s="91"/>
      <c r="AJ554" s="91"/>
      <c r="AK554" s="91"/>
      <c r="AL554" s="91"/>
      <c r="AM554" s="91"/>
      <c r="AN554" s="91"/>
    </row>
    <row r="555">
      <c r="A555" s="164"/>
      <c r="B555" s="165"/>
      <c r="C555" s="165"/>
      <c r="D555" s="164"/>
      <c r="E555" s="164"/>
      <c r="F555" s="164"/>
      <c r="G555" s="91"/>
      <c r="H555" s="91"/>
      <c r="I555" s="91"/>
      <c r="J555" s="91"/>
      <c r="K555" s="160"/>
      <c r="L555" s="160"/>
      <c r="M555" s="160"/>
      <c r="N555" s="160"/>
      <c r="O555" s="160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  <c r="AC555" s="91"/>
      <c r="AD555" s="91"/>
      <c r="AE555" s="91"/>
      <c r="AF555" s="91"/>
      <c r="AG555" s="91"/>
      <c r="AH555" s="91"/>
      <c r="AI555" s="91"/>
      <c r="AJ555" s="91"/>
      <c r="AK555" s="91"/>
      <c r="AL555" s="91"/>
      <c r="AM555" s="91"/>
      <c r="AN555" s="91"/>
    </row>
    <row r="556">
      <c r="A556" s="164"/>
      <c r="B556" s="165"/>
      <c r="C556" s="165"/>
      <c r="D556" s="164"/>
      <c r="E556" s="164"/>
      <c r="F556" s="164"/>
      <c r="G556" s="91"/>
      <c r="H556" s="91"/>
      <c r="I556" s="91"/>
      <c r="J556" s="91"/>
      <c r="K556" s="160"/>
      <c r="L556" s="160"/>
      <c r="M556" s="160"/>
      <c r="N556" s="160"/>
      <c r="O556" s="160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  <c r="AC556" s="91"/>
      <c r="AD556" s="91"/>
      <c r="AE556" s="91"/>
      <c r="AF556" s="91"/>
      <c r="AG556" s="91"/>
      <c r="AH556" s="91"/>
      <c r="AI556" s="91"/>
      <c r="AJ556" s="91"/>
      <c r="AK556" s="91"/>
      <c r="AL556" s="91"/>
      <c r="AM556" s="91"/>
      <c r="AN556" s="91"/>
    </row>
    <row r="557">
      <c r="A557" s="164"/>
      <c r="B557" s="165"/>
      <c r="C557" s="165"/>
      <c r="D557" s="164"/>
      <c r="E557" s="164"/>
      <c r="F557" s="164"/>
      <c r="G557" s="91"/>
      <c r="H557" s="91"/>
      <c r="I557" s="91"/>
      <c r="J557" s="91"/>
      <c r="K557" s="160"/>
      <c r="L557" s="160"/>
      <c r="M557" s="160"/>
      <c r="N557" s="160"/>
      <c r="O557" s="160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  <c r="AC557" s="91"/>
      <c r="AD557" s="91"/>
      <c r="AE557" s="91"/>
      <c r="AF557" s="91"/>
      <c r="AG557" s="91"/>
      <c r="AH557" s="91"/>
      <c r="AI557" s="91"/>
      <c r="AJ557" s="91"/>
      <c r="AK557" s="91"/>
      <c r="AL557" s="91"/>
      <c r="AM557" s="91"/>
      <c r="AN557" s="91"/>
    </row>
    <row r="558">
      <c r="A558" s="164"/>
      <c r="B558" s="165"/>
      <c r="C558" s="165"/>
      <c r="D558" s="164"/>
      <c r="E558" s="164"/>
      <c r="F558" s="164"/>
      <c r="G558" s="91"/>
      <c r="H558" s="91"/>
      <c r="I558" s="91"/>
      <c r="J558" s="91"/>
      <c r="K558" s="160"/>
      <c r="L558" s="160"/>
      <c r="M558" s="160"/>
      <c r="N558" s="160"/>
      <c r="O558" s="160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  <c r="AC558" s="91"/>
      <c r="AD558" s="91"/>
      <c r="AE558" s="91"/>
      <c r="AF558" s="91"/>
      <c r="AG558" s="91"/>
      <c r="AH558" s="91"/>
      <c r="AI558" s="91"/>
      <c r="AJ558" s="91"/>
      <c r="AK558" s="91"/>
      <c r="AL558" s="91"/>
      <c r="AM558" s="91"/>
      <c r="AN558" s="91"/>
    </row>
    <row r="559">
      <c r="A559" s="164"/>
      <c r="B559" s="165"/>
      <c r="C559" s="165"/>
      <c r="D559" s="164"/>
      <c r="E559" s="164"/>
      <c r="F559" s="164"/>
      <c r="G559" s="91"/>
      <c r="H559" s="91"/>
      <c r="I559" s="91"/>
      <c r="J559" s="91"/>
      <c r="K559" s="160"/>
      <c r="L559" s="160"/>
      <c r="M559" s="160"/>
      <c r="N559" s="160"/>
      <c r="O559" s="160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  <c r="AC559" s="91"/>
      <c r="AD559" s="91"/>
      <c r="AE559" s="91"/>
      <c r="AF559" s="91"/>
      <c r="AG559" s="91"/>
      <c r="AH559" s="91"/>
      <c r="AI559" s="91"/>
      <c r="AJ559" s="91"/>
      <c r="AK559" s="91"/>
      <c r="AL559" s="91"/>
      <c r="AM559" s="91"/>
      <c r="AN559" s="91"/>
    </row>
    <row r="560">
      <c r="A560" s="164"/>
      <c r="B560" s="165"/>
      <c r="C560" s="165"/>
      <c r="D560" s="164"/>
      <c r="E560" s="164"/>
      <c r="F560" s="164"/>
      <c r="G560" s="91"/>
      <c r="H560" s="91"/>
      <c r="I560" s="91"/>
      <c r="J560" s="91"/>
      <c r="K560" s="160"/>
      <c r="L560" s="160"/>
      <c r="M560" s="160"/>
      <c r="N560" s="160"/>
      <c r="O560" s="160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  <c r="AC560" s="91"/>
      <c r="AD560" s="91"/>
      <c r="AE560" s="91"/>
      <c r="AF560" s="91"/>
      <c r="AG560" s="91"/>
      <c r="AH560" s="91"/>
      <c r="AI560" s="91"/>
      <c r="AJ560" s="91"/>
      <c r="AK560" s="91"/>
      <c r="AL560" s="91"/>
      <c r="AM560" s="91"/>
      <c r="AN560" s="91"/>
    </row>
    <row r="561">
      <c r="A561" s="164"/>
      <c r="B561" s="165"/>
      <c r="C561" s="165"/>
      <c r="D561" s="164"/>
      <c r="E561" s="164"/>
      <c r="F561" s="164"/>
      <c r="G561" s="91"/>
      <c r="H561" s="91"/>
      <c r="I561" s="91"/>
      <c r="J561" s="91"/>
      <c r="K561" s="160"/>
      <c r="L561" s="160"/>
      <c r="M561" s="160"/>
      <c r="N561" s="160"/>
      <c r="O561" s="160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  <c r="AC561" s="91"/>
      <c r="AD561" s="91"/>
      <c r="AE561" s="91"/>
      <c r="AF561" s="91"/>
      <c r="AG561" s="91"/>
      <c r="AH561" s="91"/>
      <c r="AI561" s="91"/>
      <c r="AJ561" s="91"/>
      <c r="AK561" s="91"/>
      <c r="AL561" s="91"/>
      <c r="AM561" s="91"/>
      <c r="AN561" s="91"/>
    </row>
    <row r="562">
      <c r="A562" s="164"/>
      <c r="B562" s="165"/>
      <c r="C562" s="165"/>
      <c r="D562" s="164"/>
      <c r="E562" s="164"/>
      <c r="F562" s="164"/>
      <c r="G562" s="91"/>
      <c r="H562" s="91"/>
      <c r="I562" s="91"/>
      <c r="J562" s="91"/>
      <c r="K562" s="160"/>
      <c r="L562" s="160"/>
      <c r="M562" s="160"/>
      <c r="N562" s="160"/>
      <c r="O562" s="160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  <c r="AC562" s="91"/>
      <c r="AD562" s="91"/>
      <c r="AE562" s="91"/>
      <c r="AF562" s="91"/>
      <c r="AG562" s="91"/>
      <c r="AH562" s="91"/>
      <c r="AI562" s="91"/>
      <c r="AJ562" s="91"/>
      <c r="AK562" s="91"/>
      <c r="AL562" s="91"/>
      <c r="AM562" s="91"/>
      <c r="AN562" s="91"/>
    </row>
    <row r="563">
      <c r="A563" s="164"/>
      <c r="B563" s="165"/>
      <c r="C563" s="165"/>
      <c r="D563" s="164"/>
      <c r="E563" s="164"/>
      <c r="F563" s="164"/>
      <c r="G563" s="91"/>
      <c r="H563" s="91"/>
      <c r="I563" s="91"/>
      <c r="J563" s="91"/>
      <c r="K563" s="160"/>
      <c r="L563" s="160"/>
      <c r="M563" s="160"/>
      <c r="N563" s="160"/>
      <c r="O563" s="160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  <c r="AC563" s="91"/>
      <c r="AD563" s="91"/>
      <c r="AE563" s="91"/>
      <c r="AF563" s="91"/>
      <c r="AG563" s="91"/>
      <c r="AH563" s="91"/>
      <c r="AI563" s="91"/>
      <c r="AJ563" s="91"/>
      <c r="AK563" s="91"/>
      <c r="AL563" s="91"/>
      <c r="AM563" s="91"/>
      <c r="AN563" s="91"/>
    </row>
    <row r="564">
      <c r="A564" s="164"/>
      <c r="B564" s="165"/>
      <c r="C564" s="165"/>
      <c r="D564" s="164"/>
      <c r="E564" s="164"/>
      <c r="F564" s="164"/>
      <c r="G564" s="91"/>
      <c r="H564" s="91"/>
      <c r="I564" s="91"/>
      <c r="J564" s="91"/>
      <c r="K564" s="160"/>
      <c r="L564" s="160"/>
      <c r="M564" s="160"/>
      <c r="N564" s="160"/>
      <c r="O564" s="160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  <c r="AC564" s="91"/>
      <c r="AD564" s="91"/>
      <c r="AE564" s="91"/>
      <c r="AF564" s="91"/>
      <c r="AG564" s="91"/>
      <c r="AH564" s="91"/>
      <c r="AI564" s="91"/>
      <c r="AJ564" s="91"/>
      <c r="AK564" s="91"/>
      <c r="AL564" s="91"/>
      <c r="AM564" s="91"/>
      <c r="AN564" s="91"/>
    </row>
    <row r="565">
      <c r="A565" s="164"/>
      <c r="B565" s="165"/>
      <c r="C565" s="165"/>
      <c r="D565" s="164"/>
      <c r="E565" s="164"/>
      <c r="F565" s="164"/>
      <c r="G565" s="91"/>
      <c r="H565" s="91"/>
      <c r="I565" s="91"/>
      <c r="J565" s="91"/>
      <c r="K565" s="160"/>
      <c r="L565" s="160"/>
      <c r="M565" s="160"/>
      <c r="N565" s="160"/>
      <c r="O565" s="160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  <c r="AC565" s="91"/>
      <c r="AD565" s="91"/>
      <c r="AE565" s="91"/>
      <c r="AF565" s="91"/>
      <c r="AG565" s="91"/>
      <c r="AH565" s="91"/>
      <c r="AI565" s="91"/>
      <c r="AJ565" s="91"/>
      <c r="AK565" s="91"/>
      <c r="AL565" s="91"/>
      <c r="AM565" s="91"/>
      <c r="AN565" s="91"/>
    </row>
    <row r="566">
      <c r="A566" s="164"/>
      <c r="B566" s="165"/>
      <c r="C566" s="165"/>
      <c r="D566" s="164"/>
      <c r="E566" s="164"/>
      <c r="F566" s="164"/>
      <c r="G566" s="91"/>
      <c r="H566" s="91"/>
      <c r="I566" s="91"/>
      <c r="J566" s="91"/>
      <c r="K566" s="160"/>
      <c r="L566" s="160"/>
      <c r="M566" s="160"/>
      <c r="N566" s="160"/>
      <c r="O566" s="160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  <c r="AC566" s="91"/>
      <c r="AD566" s="91"/>
      <c r="AE566" s="91"/>
      <c r="AF566" s="91"/>
      <c r="AG566" s="91"/>
      <c r="AH566" s="91"/>
      <c r="AI566" s="91"/>
      <c r="AJ566" s="91"/>
      <c r="AK566" s="91"/>
      <c r="AL566" s="91"/>
      <c r="AM566" s="91"/>
      <c r="AN566" s="91"/>
    </row>
    <row r="567">
      <c r="A567" s="164"/>
      <c r="B567" s="165"/>
      <c r="C567" s="165"/>
      <c r="D567" s="164"/>
      <c r="E567" s="164"/>
      <c r="F567" s="164"/>
      <c r="G567" s="91"/>
      <c r="H567" s="91"/>
      <c r="I567" s="91"/>
      <c r="J567" s="91"/>
      <c r="K567" s="160"/>
      <c r="L567" s="160"/>
      <c r="M567" s="160"/>
      <c r="N567" s="160"/>
      <c r="O567" s="160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  <c r="AC567" s="91"/>
      <c r="AD567" s="91"/>
      <c r="AE567" s="91"/>
      <c r="AF567" s="91"/>
      <c r="AG567" s="91"/>
      <c r="AH567" s="91"/>
      <c r="AI567" s="91"/>
      <c r="AJ567" s="91"/>
      <c r="AK567" s="91"/>
      <c r="AL567" s="91"/>
      <c r="AM567" s="91"/>
      <c r="AN567" s="91"/>
    </row>
    <row r="568">
      <c r="A568" s="164"/>
      <c r="B568" s="165"/>
      <c r="C568" s="165"/>
      <c r="D568" s="164"/>
      <c r="E568" s="164"/>
      <c r="F568" s="164"/>
      <c r="G568" s="91"/>
      <c r="H568" s="91"/>
      <c r="I568" s="91"/>
      <c r="J568" s="91"/>
      <c r="K568" s="160"/>
      <c r="L568" s="160"/>
      <c r="M568" s="160"/>
      <c r="N568" s="160"/>
      <c r="O568" s="160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  <c r="AC568" s="91"/>
      <c r="AD568" s="91"/>
      <c r="AE568" s="91"/>
      <c r="AF568" s="91"/>
      <c r="AG568" s="91"/>
      <c r="AH568" s="91"/>
      <c r="AI568" s="91"/>
      <c r="AJ568" s="91"/>
      <c r="AK568" s="91"/>
      <c r="AL568" s="91"/>
      <c r="AM568" s="91"/>
      <c r="AN568" s="91"/>
    </row>
    <row r="569">
      <c r="A569" s="164"/>
      <c r="B569" s="165"/>
      <c r="C569" s="165"/>
      <c r="D569" s="164"/>
      <c r="E569" s="164"/>
      <c r="F569" s="164"/>
      <c r="G569" s="91"/>
      <c r="H569" s="91"/>
      <c r="I569" s="91"/>
      <c r="J569" s="91"/>
      <c r="K569" s="160"/>
      <c r="L569" s="160"/>
      <c r="M569" s="160"/>
      <c r="N569" s="160"/>
      <c r="O569" s="160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  <c r="AC569" s="91"/>
      <c r="AD569" s="91"/>
      <c r="AE569" s="91"/>
      <c r="AF569" s="91"/>
      <c r="AG569" s="91"/>
      <c r="AH569" s="91"/>
      <c r="AI569" s="91"/>
      <c r="AJ569" s="91"/>
      <c r="AK569" s="91"/>
      <c r="AL569" s="91"/>
      <c r="AM569" s="91"/>
      <c r="AN569" s="91"/>
    </row>
    <row r="570">
      <c r="A570" s="164"/>
      <c r="B570" s="165"/>
      <c r="C570" s="165"/>
      <c r="D570" s="164"/>
      <c r="E570" s="164"/>
      <c r="F570" s="164"/>
      <c r="G570" s="91"/>
      <c r="H570" s="91"/>
      <c r="I570" s="91"/>
      <c r="J570" s="91"/>
      <c r="K570" s="160"/>
      <c r="L570" s="160"/>
      <c r="M570" s="160"/>
      <c r="N570" s="160"/>
      <c r="O570" s="160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  <c r="AC570" s="91"/>
      <c r="AD570" s="91"/>
      <c r="AE570" s="91"/>
      <c r="AF570" s="91"/>
      <c r="AG570" s="91"/>
      <c r="AH570" s="91"/>
      <c r="AI570" s="91"/>
      <c r="AJ570" s="91"/>
      <c r="AK570" s="91"/>
      <c r="AL570" s="91"/>
      <c r="AM570" s="91"/>
      <c r="AN570" s="91"/>
    </row>
    <row r="571">
      <c r="A571" s="164"/>
      <c r="B571" s="165"/>
      <c r="C571" s="165"/>
      <c r="D571" s="164"/>
      <c r="E571" s="164"/>
      <c r="F571" s="164"/>
      <c r="G571" s="91"/>
      <c r="H571" s="91"/>
      <c r="I571" s="91"/>
      <c r="J571" s="91"/>
      <c r="K571" s="160"/>
      <c r="L571" s="160"/>
      <c r="M571" s="160"/>
      <c r="N571" s="160"/>
      <c r="O571" s="160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  <c r="AC571" s="91"/>
      <c r="AD571" s="91"/>
      <c r="AE571" s="91"/>
      <c r="AF571" s="91"/>
      <c r="AG571" s="91"/>
      <c r="AH571" s="91"/>
      <c r="AI571" s="91"/>
      <c r="AJ571" s="91"/>
      <c r="AK571" s="91"/>
      <c r="AL571" s="91"/>
      <c r="AM571" s="91"/>
      <c r="AN571" s="91"/>
    </row>
    <row r="572">
      <c r="A572" s="164"/>
      <c r="B572" s="165"/>
      <c r="C572" s="165"/>
      <c r="D572" s="164"/>
      <c r="E572" s="164"/>
      <c r="F572" s="164"/>
      <c r="G572" s="91"/>
      <c r="H572" s="91"/>
      <c r="I572" s="91"/>
      <c r="J572" s="91"/>
      <c r="K572" s="160"/>
      <c r="L572" s="160"/>
      <c r="M572" s="160"/>
      <c r="N572" s="160"/>
      <c r="O572" s="160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  <c r="AC572" s="91"/>
      <c r="AD572" s="91"/>
      <c r="AE572" s="91"/>
      <c r="AF572" s="91"/>
      <c r="AG572" s="91"/>
      <c r="AH572" s="91"/>
      <c r="AI572" s="91"/>
      <c r="AJ572" s="91"/>
      <c r="AK572" s="91"/>
      <c r="AL572" s="91"/>
      <c r="AM572" s="91"/>
      <c r="AN572" s="91"/>
    </row>
    <row r="573">
      <c r="A573" s="164"/>
      <c r="B573" s="165"/>
      <c r="C573" s="165"/>
      <c r="D573" s="164"/>
      <c r="E573" s="164"/>
      <c r="F573" s="164"/>
      <c r="G573" s="91"/>
      <c r="H573" s="91"/>
      <c r="I573" s="91"/>
      <c r="J573" s="91"/>
      <c r="K573" s="160"/>
      <c r="L573" s="160"/>
      <c r="M573" s="160"/>
      <c r="N573" s="160"/>
      <c r="O573" s="160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  <c r="AC573" s="91"/>
      <c r="AD573" s="91"/>
      <c r="AE573" s="91"/>
      <c r="AF573" s="91"/>
      <c r="AG573" s="91"/>
      <c r="AH573" s="91"/>
      <c r="AI573" s="91"/>
      <c r="AJ573" s="91"/>
      <c r="AK573" s="91"/>
      <c r="AL573" s="91"/>
      <c r="AM573" s="91"/>
      <c r="AN573" s="91"/>
    </row>
    <row r="574">
      <c r="A574" s="164"/>
      <c r="B574" s="165"/>
      <c r="C574" s="165"/>
      <c r="D574" s="164"/>
      <c r="E574" s="164"/>
      <c r="F574" s="164"/>
      <c r="G574" s="91"/>
      <c r="H574" s="91"/>
      <c r="I574" s="91"/>
      <c r="J574" s="91"/>
      <c r="K574" s="160"/>
      <c r="L574" s="160"/>
      <c r="M574" s="160"/>
      <c r="N574" s="160"/>
      <c r="O574" s="160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  <c r="AC574" s="91"/>
      <c r="AD574" s="91"/>
      <c r="AE574" s="91"/>
      <c r="AF574" s="91"/>
      <c r="AG574" s="91"/>
      <c r="AH574" s="91"/>
      <c r="AI574" s="91"/>
      <c r="AJ574" s="91"/>
      <c r="AK574" s="91"/>
      <c r="AL574" s="91"/>
      <c r="AM574" s="91"/>
      <c r="AN574" s="91"/>
    </row>
    <row r="575">
      <c r="A575" s="164"/>
      <c r="B575" s="165"/>
      <c r="C575" s="165"/>
      <c r="D575" s="164"/>
      <c r="E575" s="164"/>
      <c r="F575" s="164"/>
      <c r="G575" s="91"/>
      <c r="H575" s="91"/>
      <c r="I575" s="91"/>
      <c r="J575" s="91"/>
      <c r="K575" s="160"/>
      <c r="L575" s="160"/>
      <c r="M575" s="160"/>
      <c r="N575" s="160"/>
      <c r="O575" s="160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  <c r="AC575" s="91"/>
      <c r="AD575" s="91"/>
      <c r="AE575" s="91"/>
      <c r="AF575" s="91"/>
      <c r="AG575" s="91"/>
      <c r="AH575" s="91"/>
      <c r="AI575" s="91"/>
      <c r="AJ575" s="91"/>
      <c r="AK575" s="91"/>
      <c r="AL575" s="91"/>
      <c r="AM575" s="91"/>
      <c r="AN575" s="91"/>
    </row>
    <row r="576">
      <c r="A576" s="164"/>
      <c r="B576" s="165"/>
      <c r="C576" s="165"/>
      <c r="D576" s="164"/>
      <c r="E576" s="164"/>
      <c r="F576" s="164"/>
      <c r="G576" s="91"/>
      <c r="H576" s="91"/>
      <c r="I576" s="91"/>
      <c r="J576" s="91"/>
      <c r="K576" s="160"/>
      <c r="L576" s="160"/>
      <c r="M576" s="160"/>
      <c r="N576" s="160"/>
      <c r="O576" s="160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  <c r="AC576" s="91"/>
      <c r="AD576" s="91"/>
      <c r="AE576" s="91"/>
      <c r="AF576" s="91"/>
      <c r="AG576" s="91"/>
      <c r="AH576" s="91"/>
      <c r="AI576" s="91"/>
      <c r="AJ576" s="91"/>
      <c r="AK576" s="91"/>
      <c r="AL576" s="91"/>
      <c r="AM576" s="91"/>
      <c r="AN576" s="91"/>
    </row>
    <row r="577">
      <c r="A577" s="164"/>
      <c r="B577" s="165"/>
      <c r="C577" s="165"/>
      <c r="D577" s="164"/>
      <c r="E577" s="164"/>
      <c r="F577" s="164"/>
      <c r="G577" s="91"/>
      <c r="H577" s="91"/>
      <c r="I577" s="91"/>
      <c r="J577" s="91"/>
      <c r="K577" s="160"/>
      <c r="L577" s="160"/>
      <c r="M577" s="160"/>
      <c r="N577" s="160"/>
      <c r="O577" s="160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  <c r="AC577" s="91"/>
      <c r="AD577" s="91"/>
      <c r="AE577" s="91"/>
      <c r="AF577" s="91"/>
      <c r="AG577" s="91"/>
      <c r="AH577" s="91"/>
      <c r="AI577" s="91"/>
      <c r="AJ577" s="91"/>
      <c r="AK577" s="91"/>
      <c r="AL577" s="91"/>
      <c r="AM577" s="91"/>
      <c r="AN577" s="91"/>
    </row>
    <row r="578">
      <c r="A578" s="164"/>
      <c r="B578" s="165"/>
      <c r="C578" s="165"/>
      <c r="D578" s="164"/>
      <c r="E578" s="164"/>
      <c r="F578" s="164"/>
      <c r="G578" s="91"/>
      <c r="H578" s="91"/>
      <c r="I578" s="91"/>
      <c r="J578" s="91"/>
      <c r="K578" s="160"/>
      <c r="L578" s="160"/>
      <c r="M578" s="160"/>
      <c r="N578" s="160"/>
      <c r="O578" s="160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  <c r="AC578" s="91"/>
      <c r="AD578" s="91"/>
      <c r="AE578" s="91"/>
      <c r="AF578" s="91"/>
      <c r="AG578" s="91"/>
      <c r="AH578" s="91"/>
      <c r="AI578" s="91"/>
      <c r="AJ578" s="91"/>
      <c r="AK578" s="91"/>
      <c r="AL578" s="91"/>
      <c r="AM578" s="91"/>
      <c r="AN578" s="91"/>
    </row>
    <row r="579">
      <c r="A579" s="164"/>
      <c r="B579" s="165"/>
      <c r="C579" s="165"/>
      <c r="D579" s="164"/>
      <c r="E579" s="164"/>
      <c r="F579" s="164"/>
      <c r="G579" s="91"/>
      <c r="H579" s="91"/>
      <c r="I579" s="91"/>
      <c r="J579" s="91"/>
      <c r="K579" s="160"/>
      <c r="L579" s="160"/>
      <c r="M579" s="160"/>
      <c r="N579" s="160"/>
      <c r="O579" s="160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  <c r="AC579" s="91"/>
      <c r="AD579" s="91"/>
      <c r="AE579" s="91"/>
      <c r="AF579" s="91"/>
      <c r="AG579" s="91"/>
      <c r="AH579" s="91"/>
      <c r="AI579" s="91"/>
      <c r="AJ579" s="91"/>
      <c r="AK579" s="91"/>
      <c r="AL579" s="91"/>
      <c r="AM579" s="91"/>
      <c r="AN579" s="91"/>
    </row>
    <row r="580">
      <c r="A580" s="164"/>
      <c r="B580" s="165"/>
      <c r="C580" s="165"/>
      <c r="D580" s="164"/>
      <c r="E580" s="164"/>
      <c r="F580" s="164"/>
      <c r="G580" s="91"/>
      <c r="H580" s="91"/>
      <c r="I580" s="91"/>
      <c r="J580" s="91"/>
      <c r="K580" s="160"/>
      <c r="L580" s="160"/>
      <c r="M580" s="160"/>
      <c r="N580" s="160"/>
      <c r="O580" s="160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  <c r="AC580" s="91"/>
      <c r="AD580" s="91"/>
      <c r="AE580" s="91"/>
      <c r="AF580" s="91"/>
      <c r="AG580" s="91"/>
      <c r="AH580" s="91"/>
      <c r="AI580" s="91"/>
      <c r="AJ580" s="91"/>
      <c r="AK580" s="91"/>
      <c r="AL580" s="91"/>
      <c r="AM580" s="91"/>
      <c r="AN580" s="91"/>
    </row>
    <row r="581">
      <c r="A581" s="164"/>
      <c r="B581" s="165"/>
      <c r="C581" s="165"/>
      <c r="D581" s="164"/>
      <c r="E581" s="164"/>
      <c r="F581" s="164"/>
      <c r="G581" s="91"/>
      <c r="H581" s="91"/>
      <c r="I581" s="91"/>
      <c r="J581" s="91"/>
      <c r="K581" s="160"/>
      <c r="L581" s="160"/>
      <c r="M581" s="160"/>
      <c r="N581" s="160"/>
      <c r="O581" s="160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  <c r="AC581" s="91"/>
      <c r="AD581" s="91"/>
      <c r="AE581" s="91"/>
      <c r="AF581" s="91"/>
      <c r="AG581" s="91"/>
      <c r="AH581" s="91"/>
      <c r="AI581" s="91"/>
      <c r="AJ581" s="91"/>
      <c r="AK581" s="91"/>
      <c r="AL581" s="91"/>
      <c r="AM581" s="91"/>
      <c r="AN581" s="91"/>
    </row>
    <row r="582">
      <c r="A582" s="164"/>
      <c r="B582" s="165"/>
      <c r="C582" s="165"/>
      <c r="D582" s="164"/>
      <c r="E582" s="164"/>
      <c r="F582" s="164"/>
      <c r="G582" s="91"/>
      <c r="H582" s="91"/>
      <c r="I582" s="91"/>
      <c r="J582" s="91"/>
      <c r="K582" s="160"/>
      <c r="L582" s="160"/>
      <c r="M582" s="160"/>
      <c r="N582" s="160"/>
      <c r="O582" s="160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  <c r="AC582" s="91"/>
      <c r="AD582" s="91"/>
      <c r="AE582" s="91"/>
      <c r="AF582" s="91"/>
      <c r="AG582" s="91"/>
      <c r="AH582" s="91"/>
      <c r="AI582" s="91"/>
      <c r="AJ582" s="91"/>
      <c r="AK582" s="91"/>
      <c r="AL582" s="91"/>
      <c r="AM582" s="91"/>
      <c r="AN582" s="91"/>
    </row>
    <row r="583">
      <c r="A583" s="164"/>
      <c r="B583" s="165"/>
      <c r="C583" s="165"/>
      <c r="D583" s="164"/>
      <c r="E583" s="164"/>
      <c r="F583" s="164"/>
      <c r="G583" s="91"/>
      <c r="H583" s="91"/>
      <c r="I583" s="91"/>
      <c r="J583" s="91"/>
      <c r="K583" s="160"/>
      <c r="L583" s="160"/>
      <c r="M583" s="160"/>
      <c r="N583" s="160"/>
      <c r="O583" s="160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  <c r="AC583" s="91"/>
      <c r="AD583" s="91"/>
      <c r="AE583" s="91"/>
      <c r="AF583" s="91"/>
      <c r="AG583" s="91"/>
      <c r="AH583" s="91"/>
      <c r="AI583" s="91"/>
      <c r="AJ583" s="91"/>
      <c r="AK583" s="91"/>
      <c r="AL583" s="91"/>
      <c r="AM583" s="91"/>
      <c r="AN583" s="91"/>
    </row>
    <row r="584">
      <c r="A584" s="164"/>
      <c r="B584" s="165"/>
      <c r="C584" s="165"/>
      <c r="D584" s="164"/>
      <c r="E584" s="164"/>
      <c r="F584" s="164"/>
      <c r="G584" s="91"/>
      <c r="H584" s="91"/>
      <c r="I584" s="91"/>
      <c r="J584" s="91"/>
      <c r="K584" s="160"/>
      <c r="L584" s="160"/>
      <c r="M584" s="160"/>
      <c r="N584" s="160"/>
      <c r="O584" s="160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  <c r="AC584" s="91"/>
      <c r="AD584" s="91"/>
      <c r="AE584" s="91"/>
      <c r="AF584" s="91"/>
      <c r="AG584" s="91"/>
      <c r="AH584" s="91"/>
      <c r="AI584" s="91"/>
      <c r="AJ584" s="91"/>
      <c r="AK584" s="91"/>
      <c r="AL584" s="91"/>
      <c r="AM584" s="91"/>
      <c r="AN584" s="91"/>
    </row>
    <row r="585">
      <c r="A585" s="164"/>
      <c r="B585" s="165"/>
      <c r="C585" s="165"/>
      <c r="D585" s="164"/>
      <c r="E585" s="164"/>
      <c r="F585" s="164"/>
      <c r="G585" s="91"/>
      <c r="H585" s="91"/>
      <c r="I585" s="91"/>
      <c r="J585" s="91"/>
      <c r="K585" s="160"/>
      <c r="L585" s="160"/>
      <c r="M585" s="160"/>
      <c r="N585" s="160"/>
      <c r="O585" s="160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  <c r="AC585" s="91"/>
      <c r="AD585" s="91"/>
      <c r="AE585" s="91"/>
      <c r="AF585" s="91"/>
      <c r="AG585" s="91"/>
      <c r="AH585" s="91"/>
      <c r="AI585" s="91"/>
      <c r="AJ585" s="91"/>
      <c r="AK585" s="91"/>
      <c r="AL585" s="91"/>
      <c r="AM585" s="91"/>
      <c r="AN585" s="91"/>
    </row>
    <row r="586">
      <c r="A586" s="164"/>
      <c r="B586" s="165"/>
      <c r="C586" s="165"/>
      <c r="D586" s="164"/>
      <c r="E586" s="164"/>
      <c r="F586" s="164"/>
      <c r="G586" s="91"/>
      <c r="H586" s="91"/>
      <c r="I586" s="91"/>
      <c r="J586" s="91"/>
      <c r="K586" s="160"/>
      <c r="L586" s="160"/>
      <c r="M586" s="160"/>
      <c r="N586" s="160"/>
      <c r="O586" s="160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  <c r="AC586" s="91"/>
      <c r="AD586" s="91"/>
      <c r="AE586" s="91"/>
      <c r="AF586" s="91"/>
      <c r="AG586" s="91"/>
      <c r="AH586" s="91"/>
      <c r="AI586" s="91"/>
      <c r="AJ586" s="91"/>
      <c r="AK586" s="91"/>
      <c r="AL586" s="91"/>
      <c r="AM586" s="91"/>
      <c r="AN586" s="91"/>
    </row>
    <row r="587">
      <c r="A587" s="164"/>
      <c r="B587" s="165"/>
      <c r="C587" s="165"/>
      <c r="D587" s="164"/>
      <c r="E587" s="164"/>
      <c r="F587" s="164"/>
      <c r="G587" s="91"/>
      <c r="H587" s="91"/>
      <c r="I587" s="91"/>
      <c r="J587" s="91"/>
      <c r="K587" s="160"/>
      <c r="L587" s="160"/>
      <c r="M587" s="160"/>
      <c r="N587" s="160"/>
      <c r="O587" s="160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  <c r="AC587" s="91"/>
      <c r="AD587" s="91"/>
      <c r="AE587" s="91"/>
      <c r="AF587" s="91"/>
      <c r="AG587" s="91"/>
      <c r="AH587" s="91"/>
      <c r="AI587" s="91"/>
      <c r="AJ587" s="91"/>
      <c r="AK587" s="91"/>
      <c r="AL587" s="91"/>
      <c r="AM587" s="91"/>
      <c r="AN587" s="91"/>
    </row>
    <row r="588">
      <c r="A588" s="164"/>
      <c r="B588" s="165"/>
      <c r="C588" s="165"/>
      <c r="D588" s="164"/>
      <c r="E588" s="164"/>
      <c r="F588" s="164"/>
      <c r="G588" s="91"/>
      <c r="H588" s="91"/>
      <c r="I588" s="91"/>
      <c r="J588" s="91"/>
      <c r="K588" s="160"/>
      <c r="L588" s="160"/>
      <c r="M588" s="160"/>
      <c r="N588" s="160"/>
      <c r="O588" s="160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  <c r="AC588" s="91"/>
      <c r="AD588" s="91"/>
      <c r="AE588" s="91"/>
      <c r="AF588" s="91"/>
      <c r="AG588" s="91"/>
      <c r="AH588" s="91"/>
      <c r="AI588" s="91"/>
      <c r="AJ588" s="91"/>
      <c r="AK588" s="91"/>
      <c r="AL588" s="91"/>
      <c r="AM588" s="91"/>
      <c r="AN588" s="91"/>
    </row>
    <row r="589">
      <c r="A589" s="164"/>
      <c r="B589" s="165"/>
      <c r="C589" s="165"/>
      <c r="D589" s="164"/>
      <c r="E589" s="164"/>
      <c r="F589" s="164"/>
      <c r="G589" s="91"/>
      <c r="H589" s="91"/>
      <c r="I589" s="91"/>
      <c r="J589" s="91"/>
      <c r="K589" s="160"/>
      <c r="L589" s="160"/>
      <c r="M589" s="160"/>
      <c r="N589" s="160"/>
      <c r="O589" s="160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  <c r="AC589" s="91"/>
      <c r="AD589" s="91"/>
      <c r="AE589" s="91"/>
      <c r="AF589" s="91"/>
      <c r="AG589" s="91"/>
      <c r="AH589" s="91"/>
      <c r="AI589" s="91"/>
      <c r="AJ589" s="91"/>
      <c r="AK589" s="91"/>
      <c r="AL589" s="91"/>
      <c r="AM589" s="91"/>
      <c r="AN589" s="91"/>
    </row>
    <row r="590">
      <c r="A590" s="164"/>
      <c r="B590" s="165"/>
      <c r="C590" s="165"/>
      <c r="D590" s="164"/>
      <c r="E590" s="164"/>
      <c r="F590" s="164"/>
      <c r="G590" s="91"/>
      <c r="H590" s="91"/>
      <c r="I590" s="91"/>
      <c r="J590" s="91"/>
      <c r="K590" s="160"/>
      <c r="L590" s="160"/>
      <c r="M590" s="160"/>
      <c r="N590" s="160"/>
      <c r="O590" s="160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  <c r="AC590" s="91"/>
      <c r="AD590" s="91"/>
      <c r="AE590" s="91"/>
      <c r="AF590" s="91"/>
      <c r="AG590" s="91"/>
      <c r="AH590" s="91"/>
      <c r="AI590" s="91"/>
      <c r="AJ590" s="91"/>
      <c r="AK590" s="91"/>
      <c r="AL590" s="91"/>
      <c r="AM590" s="91"/>
      <c r="AN590" s="91"/>
    </row>
    <row r="591">
      <c r="A591" s="164"/>
      <c r="B591" s="165"/>
      <c r="C591" s="165"/>
      <c r="D591" s="164"/>
      <c r="E591" s="164"/>
      <c r="F591" s="164"/>
      <c r="G591" s="91"/>
      <c r="H591" s="91"/>
      <c r="I591" s="91"/>
      <c r="J591" s="91"/>
      <c r="K591" s="160"/>
      <c r="L591" s="160"/>
      <c r="M591" s="160"/>
      <c r="N591" s="160"/>
      <c r="O591" s="160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  <c r="AC591" s="91"/>
      <c r="AD591" s="91"/>
      <c r="AE591" s="91"/>
      <c r="AF591" s="91"/>
      <c r="AG591" s="91"/>
      <c r="AH591" s="91"/>
      <c r="AI591" s="91"/>
      <c r="AJ591" s="91"/>
      <c r="AK591" s="91"/>
      <c r="AL591" s="91"/>
      <c r="AM591" s="91"/>
      <c r="AN591" s="91"/>
    </row>
    <row r="592">
      <c r="A592" s="164"/>
      <c r="B592" s="165"/>
      <c r="C592" s="165"/>
      <c r="D592" s="164"/>
      <c r="E592" s="164"/>
      <c r="F592" s="164"/>
      <c r="G592" s="91"/>
      <c r="H592" s="91"/>
      <c r="I592" s="91"/>
      <c r="J592" s="91"/>
      <c r="K592" s="160"/>
      <c r="L592" s="160"/>
      <c r="M592" s="160"/>
      <c r="N592" s="160"/>
      <c r="O592" s="160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  <c r="AC592" s="91"/>
      <c r="AD592" s="91"/>
      <c r="AE592" s="91"/>
      <c r="AF592" s="91"/>
      <c r="AG592" s="91"/>
      <c r="AH592" s="91"/>
      <c r="AI592" s="91"/>
      <c r="AJ592" s="91"/>
      <c r="AK592" s="91"/>
      <c r="AL592" s="91"/>
      <c r="AM592" s="91"/>
      <c r="AN592" s="91"/>
    </row>
    <row r="593">
      <c r="A593" s="164"/>
      <c r="B593" s="165"/>
      <c r="C593" s="165"/>
      <c r="D593" s="164"/>
      <c r="E593" s="164"/>
      <c r="F593" s="164"/>
      <c r="G593" s="91"/>
      <c r="H593" s="91"/>
      <c r="I593" s="91"/>
      <c r="J593" s="91"/>
      <c r="K593" s="160"/>
      <c r="L593" s="160"/>
      <c r="M593" s="160"/>
      <c r="N593" s="160"/>
      <c r="O593" s="160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  <c r="AC593" s="91"/>
      <c r="AD593" s="91"/>
      <c r="AE593" s="91"/>
      <c r="AF593" s="91"/>
      <c r="AG593" s="91"/>
      <c r="AH593" s="91"/>
      <c r="AI593" s="91"/>
      <c r="AJ593" s="91"/>
      <c r="AK593" s="91"/>
      <c r="AL593" s="91"/>
      <c r="AM593" s="91"/>
      <c r="AN593" s="91"/>
    </row>
    <row r="594">
      <c r="A594" s="164"/>
      <c r="B594" s="165"/>
      <c r="C594" s="165"/>
      <c r="D594" s="164"/>
      <c r="E594" s="164"/>
      <c r="F594" s="164"/>
      <c r="G594" s="91"/>
      <c r="H594" s="91"/>
      <c r="I594" s="91"/>
      <c r="J594" s="91"/>
      <c r="K594" s="160"/>
      <c r="L594" s="160"/>
      <c r="M594" s="160"/>
      <c r="N594" s="160"/>
      <c r="O594" s="160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  <c r="AC594" s="91"/>
      <c r="AD594" s="91"/>
      <c r="AE594" s="91"/>
      <c r="AF594" s="91"/>
      <c r="AG594" s="91"/>
      <c r="AH594" s="91"/>
      <c r="AI594" s="91"/>
      <c r="AJ594" s="91"/>
      <c r="AK594" s="91"/>
      <c r="AL594" s="91"/>
      <c r="AM594" s="91"/>
      <c r="AN594" s="91"/>
    </row>
    <row r="595">
      <c r="A595" s="164"/>
      <c r="B595" s="165"/>
      <c r="C595" s="165"/>
      <c r="D595" s="164"/>
      <c r="E595" s="164"/>
      <c r="F595" s="164"/>
      <c r="G595" s="91"/>
      <c r="H595" s="91"/>
      <c r="I595" s="91"/>
      <c r="J595" s="91"/>
      <c r="K595" s="160"/>
      <c r="L595" s="160"/>
      <c r="M595" s="160"/>
      <c r="N595" s="160"/>
      <c r="O595" s="160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  <c r="AC595" s="91"/>
      <c r="AD595" s="91"/>
      <c r="AE595" s="91"/>
      <c r="AF595" s="91"/>
      <c r="AG595" s="91"/>
      <c r="AH595" s="91"/>
      <c r="AI595" s="91"/>
      <c r="AJ595" s="91"/>
      <c r="AK595" s="91"/>
      <c r="AL595" s="91"/>
      <c r="AM595" s="91"/>
      <c r="AN595" s="91"/>
    </row>
    <row r="596">
      <c r="A596" s="164"/>
      <c r="B596" s="165"/>
      <c r="C596" s="165"/>
      <c r="D596" s="164"/>
      <c r="E596" s="164"/>
      <c r="F596" s="164"/>
      <c r="G596" s="91"/>
      <c r="H596" s="91"/>
      <c r="I596" s="91"/>
      <c r="J596" s="91"/>
      <c r="K596" s="160"/>
      <c r="L596" s="160"/>
      <c r="M596" s="160"/>
      <c r="N596" s="160"/>
      <c r="O596" s="160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  <c r="AC596" s="91"/>
      <c r="AD596" s="91"/>
      <c r="AE596" s="91"/>
      <c r="AF596" s="91"/>
      <c r="AG596" s="91"/>
      <c r="AH596" s="91"/>
      <c r="AI596" s="91"/>
      <c r="AJ596" s="91"/>
      <c r="AK596" s="91"/>
      <c r="AL596" s="91"/>
      <c r="AM596" s="91"/>
      <c r="AN596" s="91"/>
    </row>
    <row r="597">
      <c r="A597" s="164"/>
      <c r="B597" s="165"/>
      <c r="C597" s="165"/>
      <c r="D597" s="164"/>
      <c r="E597" s="164"/>
      <c r="F597" s="164"/>
      <c r="G597" s="91"/>
      <c r="H597" s="91"/>
      <c r="I597" s="91"/>
      <c r="J597" s="91"/>
      <c r="K597" s="160"/>
      <c r="L597" s="160"/>
      <c r="M597" s="160"/>
      <c r="N597" s="160"/>
      <c r="O597" s="160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  <c r="AC597" s="91"/>
      <c r="AD597" s="91"/>
      <c r="AE597" s="91"/>
      <c r="AF597" s="91"/>
      <c r="AG597" s="91"/>
      <c r="AH597" s="91"/>
      <c r="AI597" s="91"/>
      <c r="AJ597" s="91"/>
      <c r="AK597" s="91"/>
      <c r="AL597" s="91"/>
      <c r="AM597" s="91"/>
      <c r="AN597" s="91"/>
    </row>
    <row r="598">
      <c r="A598" s="164"/>
      <c r="B598" s="165"/>
      <c r="C598" s="165"/>
      <c r="D598" s="164"/>
      <c r="E598" s="164"/>
      <c r="F598" s="164"/>
      <c r="G598" s="91"/>
      <c r="H598" s="91"/>
      <c r="I598" s="91"/>
      <c r="J598" s="91"/>
      <c r="K598" s="160"/>
      <c r="L598" s="160"/>
      <c r="M598" s="160"/>
      <c r="N598" s="160"/>
      <c r="O598" s="160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  <c r="AC598" s="91"/>
      <c r="AD598" s="91"/>
      <c r="AE598" s="91"/>
      <c r="AF598" s="91"/>
      <c r="AG598" s="91"/>
      <c r="AH598" s="91"/>
      <c r="AI598" s="91"/>
      <c r="AJ598" s="91"/>
      <c r="AK598" s="91"/>
      <c r="AL598" s="91"/>
      <c r="AM598" s="91"/>
      <c r="AN598" s="91"/>
    </row>
    <row r="599">
      <c r="A599" s="164"/>
      <c r="B599" s="165"/>
      <c r="C599" s="165"/>
      <c r="D599" s="164"/>
      <c r="E599" s="164"/>
      <c r="F599" s="164"/>
      <c r="G599" s="91"/>
      <c r="H599" s="91"/>
      <c r="I599" s="91"/>
      <c r="J599" s="91"/>
      <c r="K599" s="160"/>
      <c r="L599" s="160"/>
      <c r="M599" s="160"/>
      <c r="N599" s="160"/>
      <c r="O599" s="160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  <c r="AC599" s="91"/>
      <c r="AD599" s="91"/>
      <c r="AE599" s="91"/>
      <c r="AF599" s="91"/>
      <c r="AG599" s="91"/>
      <c r="AH599" s="91"/>
      <c r="AI599" s="91"/>
      <c r="AJ599" s="91"/>
      <c r="AK599" s="91"/>
      <c r="AL599" s="91"/>
      <c r="AM599" s="91"/>
      <c r="AN599" s="91"/>
    </row>
    <row r="600">
      <c r="A600" s="164"/>
      <c r="B600" s="165"/>
      <c r="C600" s="165"/>
      <c r="D600" s="164"/>
      <c r="E600" s="164"/>
      <c r="F600" s="164"/>
      <c r="G600" s="91"/>
      <c r="H600" s="91"/>
      <c r="I600" s="91"/>
      <c r="J600" s="91"/>
      <c r="K600" s="160"/>
      <c r="L600" s="160"/>
      <c r="M600" s="160"/>
      <c r="N600" s="160"/>
      <c r="O600" s="160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  <c r="AC600" s="91"/>
      <c r="AD600" s="91"/>
      <c r="AE600" s="91"/>
      <c r="AF600" s="91"/>
      <c r="AG600" s="91"/>
      <c r="AH600" s="91"/>
      <c r="AI600" s="91"/>
      <c r="AJ600" s="91"/>
      <c r="AK600" s="91"/>
      <c r="AL600" s="91"/>
      <c r="AM600" s="91"/>
      <c r="AN600" s="91"/>
    </row>
    <row r="601">
      <c r="A601" s="164"/>
      <c r="B601" s="165"/>
      <c r="C601" s="165"/>
      <c r="D601" s="164"/>
      <c r="E601" s="164"/>
      <c r="F601" s="164"/>
      <c r="G601" s="91"/>
      <c r="H601" s="91"/>
      <c r="I601" s="91"/>
      <c r="J601" s="91"/>
      <c r="K601" s="160"/>
      <c r="L601" s="160"/>
      <c r="M601" s="160"/>
      <c r="N601" s="160"/>
      <c r="O601" s="160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  <c r="AC601" s="91"/>
      <c r="AD601" s="91"/>
      <c r="AE601" s="91"/>
      <c r="AF601" s="91"/>
      <c r="AG601" s="91"/>
      <c r="AH601" s="91"/>
      <c r="AI601" s="91"/>
      <c r="AJ601" s="91"/>
      <c r="AK601" s="91"/>
      <c r="AL601" s="91"/>
      <c r="AM601" s="91"/>
      <c r="AN601" s="91"/>
    </row>
    <row r="602">
      <c r="A602" s="164"/>
      <c r="B602" s="165"/>
      <c r="C602" s="165"/>
      <c r="D602" s="164"/>
      <c r="E602" s="164"/>
      <c r="F602" s="164"/>
      <c r="G602" s="91"/>
      <c r="H602" s="91"/>
      <c r="I602" s="91"/>
      <c r="J602" s="91"/>
      <c r="K602" s="160"/>
      <c r="L602" s="160"/>
      <c r="M602" s="160"/>
      <c r="N602" s="160"/>
      <c r="O602" s="160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  <c r="AC602" s="91"/>
      <c r="AD602" s="91"/>
      <c r="AE602" s="91"/>
      <c r="AF602" s="91"/>
      <c r="AG602" s="91"/>
      <c r="AH602" s="91"/>
      <c r="AI602" s="91"/>
      <c r="AJ602" s="91"/>
      <c r="AK602" s="91"/>
      <c r="AL602" s="91"/>
      <c r="AM602" s="91"/>
      <c r="AN602" s="91"/>
    </row>
    <row r="603">
      <c r="A603" s="164"/>
      <c r="B603" s="165"/>
      <c r="C603" s="165"/>
      <c r="D603" s="164"/>
      <c r="E603" s="164"/>
      <c r="F603" s="164"/>
      <c r="G603" s="91"/>
      <c r="H603" s="91"/>
      <c r="I603" s="91"/>
      <c r="J603" s="91"/>
      <c r="K603" s="160"/>
      <c r="L603" s="160"/>
      <c r="M603" s="160"/>
      <c r="N603" s="160"/>
      <c r="O603" s="160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  <c r="AC603" s="91"/>
      <c r="AD603" s="91"/>
      <c r="AE603" s="91"/>
      <c r="AF603" s="91"/>
      <c r="AG603" s="91"/>
      <c r="AH603" s="91"/>
      <c r="AI603" s="91"/>
      <c r="AJ603" s="91"/>
      <c r="AK603" s="91"/>
      <c r="AL603" s="91"/>
      <c r="AM603" s="91"/>
      <c r="AN603" s="91"/>
    </row>
    <row r="604">
      <c r="A604" s="164"/>
      <c r="B604" s="165"/>
      <c r="C604" s="165"/>
      <c r="D604" s="164"/>
      <c r="E604" s="164"/>
      <c r="F604" s="164"/>
      <c r="G604" s="91"/>
      <c r="H604" s="91"/>
      <c r="I604" s="91"/>
      <c r="J604" s="91"/>
      <c r="K604" s="160"/>
      <c r="L604" s="160"/>
      <c r="M604" s="160"/>
      <c r="N604" s="160"/>
      <c r="O604" s="160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  <c r="AC604" s="91"/>
      <c r="AD604" s="91"/>
      <c r="AE604" s="91"/>
      <c r="AF604" s="91"/>
      <c r="AG604" s="91"/>
      <c r="AH604" s="91"/>
      <c r="AI604" s="91"/>
      <c r="AJ604" s="91"/>
      <c r="AK604" s="91"/>
      <c r="AL604" s="91"/>
      <c r="AM604" s="91"/>
      <c r="AN604" s="91"/>
    </row>
    <row r="605">
      <c r="A605" s="164"/>
      <c r="B605" s="165"/>
      <c r="C605" s="165"/>
      <c r="D605" s="164"/>
      <c r="E605" s="164"/>
      <c r="F605" s="164"/>
      <c r="G605" s="91"/>
      <c r="H605" s="91"/>
      <c r="I605" s="91"/>
      <c r="J605" s="91"/>
      <c r="K605" s="160"/>
      <c r="L605" s="160"/>
      <c r="M605" s="160"/>
      <c r="N605" s="160"/>
      <c r="O605" s="160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  <c r="AC605" s="91"/>
      <c r="AD605" s="91"/>
      <c r="AE605" s="91"/>
      <c r="AF605" s="91"/>
      <c r="AG605" s="91"/>
      <c r="AH605" s="91"/>
      <c r="AI605" s="91"/>
      <c r="AJ605" s="91"/>
      <c r="AK605" s="91"/>
      <c r="AL605" s="91"/>
      <c r="AM605" s="91"/>
      <c r="AN605" s="91"/>
    </row>
    <row r="606">
      <c r="A606" s="164"/>
      <c r="B606" s="165"/>
      <c r="C606" s="165"/>
      <c r="D606" s="164"/>
      <c r="E606" s="164"/>
      <c r="F606" s="164"/>
      <c r="G606" s="91"/>
      <c r="H606" s="91"/>
      <c r="I606" s="91"/>
      <c r="J606" s="91"/>
      <c r="K606" s="160"/>
      <c r="L606" s="160"/>
      <c r="M606" s="160"/>
      <c r="N606" s="160"/>
      <c r="O606" s="160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  <c r="AC606" s="91"/>
      <c r="AD606" s="91"/>
      <c r="AE606" s="91"/>
      <c r="AF606" s="91"/>
      <c r="AG606" s="91"/>
      <c r="AH606" s="91"/>
      <c r="AI606" s="91"/>
      <c r="AJ606" s="91"/>
      <c r="AK606" s="91"/>
      <c r="AL606" s="91"/>
      <c r="AM606" s="91"/>
      <c r="AN606" s="91"/>
    </row>
    <row r="607">
      <c r="A607" s="164"/>
      <c r="B607" s="165"/>
      <c r="C607" s="165"/>
      <c r="D607" s="164"/>
      <c r="E607" s="164"/>
      <c r="F607" s="164"/>
      <c r="G607" s="91"/>
      <c r="H607" s="91"/>
      <c r="I607" s="91"/>
      <c r="J607" s="91"/>
      <c r="K607" s="160"/>
      <c r="L607" s="160"/>
      <c r="M607" s="160"/>
      <c r="N607" s="160"/>
      <c r="O607" s="160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  <c r="AC607" s="91"/>
      <c r="AD607" s="91"/>
      <c r="AE607" s="91"/>
      <c r="AF607" s="91"/>
      <c r="AG607" s="91"/>
      <c r="AH607" s="91"/>
      <c r="AI607" s="91"/>
      <c r="AJ607" s="91"/>
      <c r="AK607" s="91"/>
      <c r="AL607" s="91"/>
      <c r="AM607" s="91"/>
      <c r="AN607" s="91"/>
    </row>
    <row r="608">
      <c r="A608" s="164"/>
      <c r="B608" s="165"/>
      <c r="C608" s="165"/>
      <c r="D608" s="164"/>
      <c r="E608" s="164"/>
      <c r="F608" s="164"/>
      <c r="G608" s="91"/>
      <c r="H608" s="91"/>
      <c r="I608" s="91"/>
      <c r="J608" s="91"/>
      <c r="K608" s="160"/>
      <c r="L608" s="160"/>
      <c r="M608" s="160"/>
      <c r="N608" s="160"/>
      <c r="O608" s="160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  <c r="AC608" s="91"/>
      <c r="AD608" s="91"/>
      <c r="AE608" s="91"/>
      <c r="AF608" s="91"/>
      <c r="AG608" s="91"/>
      <c r="AH608" s="91"/>
      <c r="AI608" s="91"/>
      <c r="AJ608" s="91"/>
      <c r="AK608" s="91"/>
      <c r="AL608" s="91"/>
      <c r="AM608" s="91"/>
      <c r="AN608" s="91"/>
    </row>
    <row r="609">
      <c r="A609" s="164"/>
      <c r="B609" s="165"/>
      <c r="C609" s="165"/>
      <c r="D609" s="164"/>
      <c r="E609" s="164"/>
      <c r="F609" s="164"/>
      <c r="G609" s="91"/>
      <c r="H609" s="91"/>
      <c r="I609" s="91"/>
      <c r="J609" s="91"/>
      <c r="K609" s="160"/>
      <c r="L609" s="160"/>
      <c r="M609" s="160"/>
      <c r="N609" s="160"/>
      <c r="O609" s="160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  <c r="AC609" s="91"/>
      <c r="AD609" s="91"/>
      <c r="AE609" s="91"/>
      <c r="AF609" s="91"/>
      <c r="AG609" s="91"/>
      <c r="AH609" s="91"/>
      <c r="AI609" s="91"/>
      <c r="AJ609" s="91"/>
      <c r="AK609" s="91"/>
      <c r="AL609" s="91"/>
      <c r="AM609" s="91"/>
      <c r="AN609" s="91"/>
    </row>
    <row r="610">
      <c r="A610" s="164"/>
      <c r="B610" s="165"/>
      <c r="C610" s="165"/>
      <c r="D610" s="164"/>
      <c r="E610" s="164"/>
      <c r="F610" s="164"/>
      <c r="G610" s="91"/>
      <c r="H610" s="91"/>
      <c r="I610" s="91"/>
      <c r="J610" s="91"/>
      <c r="K610" s="160"/>
      <c r="L610" s="160"/>
      <c r="M610" s="160"/>
      <c r="N610" s="160"/>
      <c r="O610" s="160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  <c r="AC610" s="91"/>
      <c r="AD610" s="91"/>
      <c r="AE610" s="91"/>
      <c r="AF610" s="91"/>
      <c r="AG610" s="91"/>
      <c r="AH610" s="91"/>
      <c r="AI610" s="91"/>
      <c r="AJ610" s="91"/>
      <c r="AK610" s="91"/>
      <c r="AL610" s="91"/>
      <c r="AM610" s="91"/>
      <c r="AN610" s="91"/>
    </row>
    <row r="611">
      <c r="A611" s="164"/>
      <c r="B611" s="165"/>
      <c r="C611" s="165"/>
      <c r="D611" s="164"/>
      <c r="E611" s="164"/>
      <c r="F611" s="164"/>
      <c r="G611" s="91"/>
      <c r="H611" s="91"/>
      <c r="I611" s="91"/>
      <c r="J611" s="91"/>
      <c r="K611" s="160"/>
      <c r="L611" s="160"/>
      <c r="M611" s="160"/>
      <c r="N611" s="160"/>
      <c r="O611" s="160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  <c r="AC611" s="91"/>
      <c r="AD611" s="91"/>
      <c r="AE611" s="91"/>
      <c r="AF611" s="91"/>
      <c r="AG611" s="91"/>
      <c r="AH611" s="91"/>
      <c r="AI611" s="91"/>
      <c r="AJ611" s="91"/>
      <c r="AK611" s="91"/>
      <c r="AL611" s="91"/>
      <c r="AM611" s="91"/>
      <c r="AN611" s="91"/>
    </row>
    <row r="612">
      <c r="A612" s="164"/>
      <c r="B612" s="165"/>
      <c r="C612" s="165"/>
      <c r="D612" s="164"/>
      <c r="E612" s="164"/>
      <c r="F612" s="164"/>
      <c r="G612" s="91"/>
      <c r="H612" s="91"/>
      <c r="I612" s="91"/>
      <c r="J612" s="91"/>
      <c r="K612" s="160"/>
      <c r="L612" s="160"/>
      <c r="M612" s="160"/>
      <c r="N612" s="160"/>
      <c r="O612" s="160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  <c r="AC612" s="91"/>
      <c r="AD612" s="91"/>
      <c r="AE612" s="91"/>
      <c r="AF612" s="91"/>
      <c r="AG612" s="91"/>
      <c r="AH612" s="91"/>
      <c r="AI612" s="91"/>
      <c r="AJ612" s="91"/>
      <c r="AK612" s="91"/>
      <c r="AL612" s="91"/>
      <c r="AM612" s="91"/>
      <c r="AN612" s="91"/>
    </row>
    <row r="613">
      <c r="A613" s="164"/>
      <c r="B613" s="165"/>
      <c r="C613" s="165"/>
      <c r="D613" s="164"/>
      <c r="E613" s="164"/>
      <c r="F613" s="164"/>
      <c r="G613" s="91"/>
      <c r="H613" s="91"/>
      <c r="I613" s="91"/>
      <c r="J613" s="91"/>
      <c r="K613" s="160"/>
      <c r="L613" s="160"/>
      <c r="M613" s="160"/>
      <c r="N613" s="160"/>
      <c r="O613" s="160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  <c r="AC613" s="91"/>
      <c r="AD613" s="91"/>
      <c r="AE613" s="91"/>
      <c r="AF613" s="91"/>
      <c r="AG613" s="91"/>
      <c r="AH613" s="91"/>
      <c r="AI613" s="91"/>
      <c r="AJ613" s="91"/>
      <c r="AK613" s="91"/>
      <c r="AL613" s="91"/>
      <c r="AM613" s="91"/>
      <c r="AN613" s="91"/>
    </row>
    <row r="614">
      <c r="A614" s="164"/>
      <c r="B614" s="165"/>
      <c r="C614" s="165"/>
      <c r="D614" s="164"/>
      <c r="E614" s="164"/>
      <c r="F614" s="164"/>
      <c r="G614" s="91"/>
      <c r="H614" s="91"/>
      <c r="I614" s="91"/>
      <c r="J614" s="91"/>
      <c r="K614" s="160"/>
      <c r="L614" s="160"/>
      <c r="M614" s="160"/>
      <c r="N614" s="160"/>
      <c r="O614" s="160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  <c r="AC614" s="91"/>
      <c r="AD614" s="91"/>
      <c r="AE614" s="91"/>
      <c r="AF614" s="91"/>
      <c r="AG614" s="91"/>
      <c r="AH614" s="91"/>
      <c r="AI614" s="91"/>
      <c r="AJ614" s="91"/>
      <c r="AK614" s="91"/>
      <c r="AL614" s="91"/>
      <c r="AM614" s="91"/>
      <c r="AN614" s="91"/>
    </row>
    <row r="615">
      <c r="A615" s="164"/>
      <c r="B615" s="165"/>
      <c r="C615" s="165"/>
      <c r="D615" s="164"/>
      <c r="E615" s="164"/>
      <c r="F615" s="164"/>
      <c r="G615" s="91"/>
      <c r="H615" s="91"/>
      <c r="I615" s="91"/>
      <c r="J615" s="91"/>
      <c r="K615" s="160"/>
      <c r="L615" s="160"/>
      <c r="M615" s="160"/>
      <c r="N615" s="160"/>
      <c r="O615" s="160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  <c r="AC615" s="91"/>
      <c r="AD615" s="91"/>
      <c r="AE615" s="91"/>
      <c r="AF615" s="91"/>
      <c r="AG615" s="91"/>
      <c r="AH615" s="91"/>
      <c r="AI615" s="91"/>
      <c r="AJ615" s="91"/>
      <c r="AK615" s="91"/>
      <c r="AL615" s="91"/>
      <c r="AM615" s="91"/>
      <c r="AN615" s="91"/>
    </row>
    <row r="616">
      <c r="A616" s="164"/>
      <c r="B616" s="165"/>
      <c r="C616" s="165"/>
      <c r="D616" s="164"/>
      <c r="E616" s="164"/>
      <c r="F616" s="164"/>
      <c r="G616" s="91"/>
      <c r="H616" s="91"/>
      <c r="I616" s="91"/>
      <c r="J616" s="91"/>
      <c r="K616" s="160"/>
      <c r="L616" s="160"/>
      <c r="M616" s="160"/>
      <c r="N616" s="160"/>
      <c r="O616" s="160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  <c r="AC616" s="91"/>
      <c r="AD616" s="91"/>
      <c r="AE616" s="91"/>
      <c r="AF616" s="91"/>
      <c r="AG616" s="91"/>
      <c r="AH616" s="91"/>
      <c r="AI616" s="91"/>
      <c r="AJ616" s="91"/>
      <c r="AK616" s="91"/>
      <c r="AL616" s="91"/>
      <c r="AM616" s="91"/>
      <c r="AN616" s="91"/>
    </row>
    <row r="617">
      <c r="A617" s="164"/>
      <c r="B617" s="165"/>
      <c r="C617" s="165"/>
      <c r="D617" s="164"/>
      <c r="E617" s="164"/>
      <c r="F617" s="164"/>
      <c r="G617" s="91"/>
      <c r="H617" s="91"/>
      <c r="I617" s="91"/>
      <c r="J617" s="91"/>
      <c r="K617" s="160"/>
      <c r="L617" s="160"/>
      <c r="M617" s="160"/>
      <c r="N617" s="160"/>
      <c r="O617" s="160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  <c r="AC617" s="91"/>
      <c r="AD617" s="91"/>
      <c r="AE617" s="91"/>
      <c r="AF617" s="91"/>
      <c r="AG617" s="91"/>
      <c r="AH617" s="91"/>
      <c r="AI617" s="91"/>
      <c r="AJ617" s="91"/>
      <c r="AK617" s="91"/>
      <c r="AL617" s="91"/>
      <c r="AM617" s="91"/>
      <c r="AN617" s="91"/>
    </row>
    <row r="618">
      <c r="A618" s="164"/>
      <c r="B618" s="165"/>
      <c r="C618" s="165"/>
      <c r="D618" s="164"/>
      <c r="E618" s="164"/>
      <c r="F618" s="164"/>
      <c r="G618" s="91"/>
      <c r="H618" s="91"/>
      <c r="I618" s="91"/>
      <c r="J618" s="91"/>
      <c r="K618" s="160"/>
      <c r="L618" s="160"/>
      <c r="M618" s="160"/>
      <c r="N618" s="160"/>
      <c r="O618" s="160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  <c r="AC618" s="91"/>
      <c r="AD618" s="91"/>
      <c r="AE618" s="91"/>
      <c r="AF618" s="91"/>
      <c r="AG618" s="91"/>
      <c r="AH618" s="91"/>
      <c r="AI618" s="91"/>
      <c r="AJ618" s="91"/>
      <c r="AK618" s="91"/>
      <c r="AL618" s="91"/>
      <c r="AM618" s="91"/>
      <c r="AN618" s="91"/>
    </row>
    <row r="619">
      <c r="A619" s="164"/>
      <c r="B619" s="165"/>
      <c r="C619" s="165"/>
      <c r="D619" s="164"/>
      <c r="E619" s="164"/>
      <c r="F619" s="164"/>
      <c r="G619" s="91"/>
      <c r="H619" s="91"/>
      <c r="I619" s="91"/>
      <c r="J619" s="91"/>
      <c r="K619" s="160"/>
      <c r="L619" s="160"/>
      <c r="M619" s="160"/>
      <c r="N619" s="160"/>
      <c r="O619" s="160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  <c r="AC619" s="91"/>
      <c r="AD619" s="91"/>
      <c r="AE619" s="91"/>
      <c r="AF619" s="91"/>
      <c r="AG619" s="91"/>
      <c r="AH619" s="91"/>
      <c r="AI619" s="91"/>
      <c r="AJ619" s="91"/>
      <c r="AK619" s="91"/>
      <c r="AL619" s="91"/>
      <c r="AM619" s="91"/>
      <c r="AN619" s="91"/>
    </row>
    <row r="620">
      <c r="A620" s="164"/>
      <c r="B620" s="165"/>
      <c r="C620" s="165"/>
      <c r="D620" s="164"/>
      <c r="E620" s="164"/>
      <c r="F620" s="164"/>
      <c r="G620" s="91"/>
      <c r="H620" s="91"/>
      <c r="I620" s="91"/>
      <c r="J620" s="91"/>
      <c r="K620" s="160"/>
      <c r="L620" s="160"/>
      <c r="M620" s="160"/>
      <c r="N620" s="160"/>
      <c r="O620" s="160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  <c r="AC620" s="91"/>
      <c r="AD620" s="91"/>
      <c r="AE620" s="91"/>
      <c r="AF620" s="91"/>
      <c r="AG620" s="91"/>
      <c r="AH620" s="91"/>
      <c r="AI620" s="91"/>
      <c r="AJ620" s="91"/>
      <c r="AK620" s="91"/>
      <c r="AL620" s="91"/>
      <c r="AM620" s="91"/>
      <c r="AN620" s="91"/>
    </row>
    <row r="621">
      <c r="A621" s="164"/>
      <c r="B621" s="165"/>
      <c r="C621" s="165"/>
      <c r="D621" s="164"/>
      <c r="E621" s="164"/>
      <c r="F621" s="164"/>
      <c r="G621" s="91"/>
      <c r="H621" s="91"/>
      <c r="I621" s="91"/>
      <c r="J621" s="91"/>
      <c r="K621" s="160"/>
      <c r="L621" s="160"/>
      <c r="M621" s="160"/>
      <c r="N621" s="160"/>
      <c r="O621" s="160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  <c r="AC621" s="91"/>
      <c r="AD621" s="91"/>
      <c r="AE621" s="91"/>
      <c r="AF621" s="91"/>
      <c r="AG621" s="91"/>
      <c r="AH621" s="91"/>
      <c r="AI621" s="91"/>
      <c r="AJ621" s="91"/>
      <c r="AK621" s="91"/>
      <c r="AL621" s="91"/>
      <c r="AM621" s="91"/>
      <c r="AN621" s="91"/>
    </row>
    <row r="622">
      <c r="A622" s="164"/>
      <c r="B622" s="165"/>
      <c r="C622" s="165"/>
      <c r="D622" s="164"/>
      <c r="E622" s="164"/>
      <c r="F622" s="164"/>
      <c r="G622" s="91"/>
      <c r="H622" s="91"/>
      <c r="I622" s="91"/>
      <c r="J622" s="91"/>
      <c r="K622" s="160"/>
      <c r="L622" s="160"/>
      <c r="M622" s="160"/>
      <c r="N622" s="160"/>
      <c r="O622" s="160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  <c r="AC622" s="91"/>
      <c r="AD622" s="91"/>
      <c r="AE622" s="91"/>
      <c r="AF622" s="91"/>
      <c r="AG622" s="91"/>
      <c r="AH622" s="91"/>
      <c r="AI622" s="91"/>
      <c r="AJ622" s="91"/>
      <c r="AK622" s="91"/>
      <c r="AL622" s="91"/>
      <c r="AM622" s="91"/>
      <c r="AN622" s="91"/>
    </row>
    <row r="623">
      <c r="A623" s="164"/>
      <c r="B623" s="165"/>
      <c r="C623" s="165"/>
      <c r="D623" s="164"/>
      <c r="E623" s="164"/>
      <c r="F623" s="164"/>
      <c r="G623" s="91"/>
      <c r="H623" s="91"/>
      <c r="I623" s="91"/>
      <c r="J623" s="91"/>
      <c r="K623" s="160"/>
      <c r="L623" s="160"/>
      <c r="M623" s="160"/>
      <c r="N623" s="160"/>
      <c r="O623" s="160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  <c r="AC623" s="91"/>
      <c r="AD623" s="91"/>
      <c r="AE623" s="91"/>
      <c r="AF623" s="91"/>
      <c r="AG623" s="91"/>
      <c r="AH623" s="91"/>
      <c r="AI623" s="91"/>
      <c r="AJ623" s="91"/>
      <c r="AK623" s="91"/>
      <c r="AL623" s="91"/>
      <c r="AM623" s="91"/>
      <c r="AN623" s="91"/>
    </row>
    <row r="624">
      <c r="A624" s="164"/>
      <c r="B624" s="165"/>
      <c r="C624" s="165"/>
      <c r="D624" s="164"/>
      <c r="E624" s="164"/>
      <c r="F624" s="164"/>
      <c r="G624" s="91"/>
      <c r="H624" s="91"/>
      <c r="I624" s="91"/>
      <c r="J624" s="91"/>
      <c r="K624" s="160"/>
      <c r="L624" s="160"/>
      <c r="M624" s="160"/>
      <c r="N624" s="160"/>
      <c r="O624" s="160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  <c r="AC624" s="91"/>
      <c r="AD624" s="91"/>
      <c r="AE624" s="91"/>
      <c r="AF624" s="91"/>
      <c r="AG624" s="91"/>
      <c r="AH624" s="91"/>
      <c r="AI624" s="91"/>
      <c r="AJ624" s="91"/>
      <c r="AK624" s="91"/>
      <c r="AL624" s="91"/>
      <c r="AM624" s="91"/>
      <c r="AN624" s="91"/>
    </row>
    <row r="625">
      <c r="A625" s="164"/>
      <c r="B625" s="165"/>
      <c r="C625" s="165"/>
      <c r="D625" s="164"/>
      <c r="E625" s="164"/>
      <c r="F625" s="164"/>
      <c r="G625" s="91"/>
      <c r="H625" s="91"/>
      <c r="I625" s="91"/>
      <c r="J625" s="91"/>
      <c r="K625" s="160"/>
      <c r="L625" s="160"/>
      <c r="M625" s="160"/>
      <c r="N625" s="160"/>
      <c r="O625" s="160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  <c r="AC625" s="91"/>
      <c r="AD625" s="91"/>
      <c r="AE625" s="91"/>
      <c r="AF625" s="91"/>
      <c r="AG625" s="91"/>
      <c r="AH625" s="91"/>
      <c r="AI625" s="91"/>
      <c r="AJ625" s="91"/>
      <c r="AK625" s="91"/>
      <c r="AL625" s="91"/>
      <c r="AM625" s="91"/>
      <c r="AN625" s="91"/>
    </row>
    <row r="626">
      <c r="A626" s="164"/>
      <c r="B626" s="165"/>
      <c r="C626" s="165"/>
      <c r="D626" s="164"/>
      <c r="E626" s="164"/>
      <c r="F626" s="164"/>
      <c r="G626" s="91"/>
      <c r="H626" s="91"/>
      <c r="I626" s="91"/>
      <c r="J626" s="91"/>
      <c r="K626" s="160"/>
      <c r="L626" s="160"/>
      <c r="M626" s="160"/>
      <c r="N626" s="160"/>
      <c r="O626" s="160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  <c r="AC626" s="91"/>
      <c r="AD626" s="91"/>
      <c r="AE626" s="91"/>
      <c r="AF626" s="91"/>
      <c r="AG626" s="91"/>
      <c r="AH626" s="91"/>
      <c r="AI626" s="91"/>
      <c r="AJ626" s="91"/>
      <c r="AK626" s="91"/>
      <c r="AL626" s="91"/>
      <c r="AM626" s="91"/>
      <c r="AN626" s="91"/>
    </row>
    <row r="627">
      <c r="A627" s="164"/>
      <c r="B627" s="165"/>
      <c r="C627" s="165"/>
      <c r="D627" s="164"/>
      <c r="E627" s="164"/>
      <c r="F627" s="164"/>
      <c r="G627" s="91"/>
      <c r="H627" s="91"/>
      <c r="I627" s="91"/>
      <c r="J627" s="91"/>
      <c r="K627" s="160"/>
      <c r="L627" s="160"/>
      <c r="M627" s="160"/>
      <c r="N627" s="160"/>
      <c r="O627" s="160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  <c r="AC627" s="91"/>
      <c r="AD627" s="91"/>
      <c r="AE627" s="91"/>
      <c r="AF627" s="91"/>
      <c r="AG627" s="91"/>
      <c r="AH627" s="91"/>
      <c r="AI627" s="91"/>
      <c r="AJ627" s="91"/>
      <c r="AK627" s="91"/>
      <c r="AL627" s="91"/>
      <c r="AM627" s="91"/>
      <c r="AN627" s="91"/>
    </row>
    <row r="628">
      <c r="A628" s="164"/>
      <c r="B628" s="165"/>
      <c r="C628" s="165"/>
      <c r="D628" s="164"/>
      <c r="E628" s="164"/>
      <c r="F628" s="164"/>
      <c r="G628" s="91"/>
      <c r="H628" s="91"/>
      <c r="I628" s="91"/>
      <c r="J628" s="91"/>
      <c r="K628" s="160"/>
      <c r="L628" s="160"/>
      <c r="M628" s="160"/>
      <c r="N628" s="160"/>
      <c r="O628" s="160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  <c r="AC628" s="91"/>
      <c r="AD628" s="91"/>
      <c r="AE628" s="91"/>
      <c r="AF628" s="91"/>
      <c r="AG628" s="91"/>
      <c r="AH628" s="91"/>
      <c r="AI628" s="91"/>
      <c r="AJ628" s="91"/>
      <c r="AK628" s="91"/>
      <c r="AL628" s="91"/>
      <c r="AM628" s="91"/>
      <c r="AN628" s="91"/>
    </row>
    <row r="629">
      <c r="A629" s="164"/>
      <c r="B629" s="165"/>
      <c r="C629" s="165"/>
      <c r="D629" s="164"/>
      <c r="E629" s="164"/>
      <c r="F629" s="164"/>
      <c r="G629" s="91"/>
      <c r="H629" s="91"/>
      <c r="I629" s="91"/>
      <c r="J629" s="91"/>
      <c r="K629" s="160"/>
      <c r="L629" s="160"/>
      <c r="M629" s="160"/>
      <c r="N629" s="160"/>
      <c r="O629" s="160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  <c r="AC629" s="91"/>
      <c r="AD629" s="91"/>
      <c r="AE629" s="91"/>
      <c r="AF629" s="91"/>
      <c r="AG629" s="91"/>
      <c r="AH629" s="91"/>
      <c r="AI629" s="91"/>
      <c r="AJ629" s="91"/>
      <c r="AK629" s="91"/>
      <c r="AL629" s="91"/>
      <c r="AM629" s="91"/>
      <c r="AN629" s="91"/>
    </row>
    <row r="630">
      <c r="A630" s="164"/>
      <c r="B630" s="165"/>
      <c r="C630" s="165"/>
      <c r="D630" s="164"/>
      <c r="E630" s="164"/>
      <c r="F630" s="164"/>
      <c r="G630" s="91"/>
      <c r="H630" s="91"/>
      <c r="I630" s="91"/>
      <c r="J630" s="91"/>
      <c r="K630" s="160"/>
      <c r="L630" s="160"/>
      <c r="M630" s="160"/>
      <c r="N630" s="160"/>
      <c r="O630" s="160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  <c r="AC630" s="91"/>
      <c r="AD630" s="91"/>
      <c r="AE630" s="91"/>
      <c r="AF630" s="91"/>
      <c r="AG630" s="91"/>
      <c r="AH630" s="91"/>
      <c r="AI630" s="91"/>
      <c r="AJ630" s="91"/>
      <c r="AK630" s="91"/>
      <c r="AL630" s="91"/>
      <c r="AM630" s="91"/>
      <c r="AN630" s="91"/>
    </row>
    <row r="631">
      <c r="A631" s="164"/>
      <c r="B631" s="165"/>
      <c r="C631" s="165"/>
      <c r="D631" s="164"/>
      <c r="E631" s="164"/>
      <c r="F631" s="164"/>
      <c r="G631" s="91"/>
      <c r="H631" s="91"/>
      <c r="I631" s="91"/>
      <c r="J631" s="91"/>
      <c r="K631" s="160"/>
      <c r="L631" s="160"/>
      <c r="M631" s="160"/>
      <c r="N631" s="160"/>
      <c r="O631" s="160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  <c r="AC631" s="91"/>
      <c r="AD631" s="91"/>
      <c r="AE631" s="91"/>
      <c r="AF631" s="91"/>
      <c r="AG631" s="91"/>
      <c r="AH631" s="91"/>
      <c r="AI631" s="91"/>
      <c r="AJ631" s="91"/>
      <c r="AK631" s="91"/>
      <c r="AL631" s="91"/>
      <c r="AM631" s="91"/>
      <c r="AN631" s="91"/>
    </row>
    <row r="632">
      <c r="A632" s="164"/>
      <c r="B632" s="165"/>
      <c r="C632" s="165"/>
      <c r="D632" s="164"/>
      <c r="E632" s="164"/>
      <c r="F632" s="164"/>
      <c r="G632" s="91"/>
      <c r="H632" s="91"/>
      <c r="I632" s="91"/>
      <c r="J632" s="91"/>
      <c r="K632" s="160"/>
      <c r="L632" s="160"/>
      <c r="M632" s="160"/>
      <c r="N632" s="160"/>
      <c r="O632" s="160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  <c r="AC632" s="91"/>
      <c r="AD632" s="91"/>
      <c r="AE632" s="91"/>
      <c r="AF632" s="91"/>
      <c r="AG632" s="91"/>
      <c r="AH632" s="91"/>
      <c r="AI632" s="91"/>
      <c r="AJ632" s="91"/>
      <c r="AK632" s="91"/>
      <c r="AL632" s="91"/>
      <c r="AM632" s="91"/>
      <c r="AN632" s="91"/>
    </row>
    <row r="633">
      <c r="A633" s="164"/>
      <c r="B633" s="165"/>
      <c r="C633" s="165"/>
      <c r="D633" s="164"/>
      <c r="E633" s="164"/>
      <c r="F633" s="164"/>
      <c r="G633" s="91"/>
      <c r="H633" s="91"/>
      <c r="I633" s="91"/>
      <c r="J633" s="91"/>
      <c r="K633" s="160"/>
      <c r="L633" s="160"/>
      <c r="M633" s="160"/>
      <c r="N633" s="160"/>
      <c r="O633" s="160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  <c r="AC633" s="91"/>
      <c r="AD633" s="91"/>
      <c r="AE633" s="91"/>
      <c r="AF633" s="91"/>
      <c r="AG633" s="91"/>
      <c r="AH633" s="91"/>
      <c r="AI633" s="91"/>
      <c r="AJ633" s="91"/>
      <c r="AK633" s="91"/>
      <c r="AL633" s="91"/>
      <c r="AM633" s="91"/>
      <c r="AN633" s="91"/>
    </row>
    <row r="634">
      <c r="A634" s="164"/>
      <c r="B634" s="165"/>
      <c r="C634" s="165"/>
      <c r="D634" s="164"/>
      <c r="E634" s="164"/>
      <c r="F634" s="164"/>
      <c r="G634" s="91"/>
      <c r="H634" s="91"/>
      <c r="I634" s="91"/>
      <c r="J634" s="91"/>
      <c r="K634" s="160"/>
      <c r="L634" s="160"/>
      <c r="M634" s="160"/>
      <c r="N634" s="160"/>
      <c r="O634" s="160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  <c r="AC634" s="91"/>
      <c r="AD634" s="91"/>
      <c r="AE634" s="91"/>
      <c r="AF634" s="91"/>
      <c r="AG634" s="91"/>
      <c r="AH634" s="91"/>
      <c r="AI634" s="91"/>
      <c r="AJ634" s="91"/>
      <c r="AK634" s="91"/>
      <c r="AL634" s="91"/>
      <c r="AM634" s="91"/>
      <c r="AN634" s="91"/>
    </row>
    <row r="635">
      <c r="A635" s="164"/>
      <c r="B635" s="165"/>
      <c r="C635" s="165"/>
      <c r="D635" s="164"/>
      <c r="E635" s="164"/>
      <c r="F635" s="164"/>
      <c r="G635" s="91"/>
      <c r="H635" s="91"/>
      <c r="I635" s="91"/>
      <c r="J635" s="91"/>
      <c r="K635" s="160"/>
      <c r="L635" s="160"/>
      <c r="M635" s="160"/>
      <c r="N635" s="160"/>
      <c r="O635" s="160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  <c r="AC635" s="91"/>
      <c r="AD635" s="91"/>
      <c r="AE635" s="91"/>
      <c r="AF635" s="91"/>
      <c r="AG635" s="91"/>
      <c r="AH635" s="91"/>
      <c r="AI635" s="91"/>
      <c r="AJ635" s="91"/>
      <c r="AK635" s="91"/>
      <c r="AL635" s="91"/>
      <c r="AM635" s="91"/>
      <c r="AN635" s="91"/>
    </row>
    <row r="636">
      <c r="A636" s="164"/>
      <c r="B636" s="165"/>
      <c r="C636" s="165"/>
      <c r="D636" s="164"/>
      <c r="E636" s="164"/>
      <c r="F636" s="164"/>
      <c r="G636" s="91"/>
      <c r="H636" s="91"/>
      <c r="I636" s="91"/>
      <c r="J636" s="91"/>
      <c r="K636" s="160"/>
      <c r="L636" s="160"/>
      <c r="M636" s="160"/>
      <c r="N636" s="160"/>
      <c r="O636" s="160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  <c r="AC636" s="91"/>
      <c r="AD636" s="91"/>
      <c r="AE636" s="91"/>
      <c r="AF636" s="91"/>
      <c r="AG636" s="91"/>
      <c r="AH636" s="91"/>
      <c r="AI636" s="91"/>
      <c r="AJ636" s="91"/>
      <c r="AK636" s="91"/>
      <c r="AL636" s="91"/>
      <c r="AM636" s="91"/>
      <c r="AN636" s="91"/>
    </row>
    <row r="637">
      <c r="A637" s="164"/>
      <c r="B637" s="165"/>
      <c r="C637" s="165"/>
      <c r="D637" s="164"/>
      <c r="E637" s="164"/>
      <c r="F637" s="164"/>
      <c r="G637" s="91"/>
      <c r="H637" s="91"/>
      <c r="I637" s="91"/>
      <c r="J637" s="91"/>
      <c r="K637" s="160"/>
      <c r="L637" s="160"/>
      <c r="M637" s="160"/>
      <c r="N637" s="160"/>
      <c r="O637" s="160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  <c r="AC637" s="91"/>
      <c r="AD637" s="91"/>
      <c r="AE637" s="91"/>
      <c r="AF637" s="91"/>
      <c r="AG637" s="91"/>
      <c r="AH637" s="91"/>
      <c r="AI637" s="91"/>
      <c r="AJ637" s="91"/>
      <c r="AK637" s="91"/>
      <c r="AL637" s="91"/>
      <c r="AM637" s="91"/>
      <c r="AN637" s="91"/>
    </row>
    <row r="638">
      <c r="A638" s="164"/>
      <c r="B638" s="165"/>
      <c r="C638" s="165"/>
      <c r="D638" s="164"/>
      <c r="E638" s="164"/>
      <c r="F638" s="164"/>
      <c r="G638" s="91"/>
      <c r="H638" s="91"/>
      <c r="I638" s="91"/>
      <c r="J638" s="91"/>
      <c r="K638" s="160"/>
      <c r="L638" s="160"/>
      <c r="M638" s="160"/>
      <c r="N638" s="160"/>
      <c r="O638" s="160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91"/>
      <c r="AD638" s="91"/>
      <c r="AE638" s="91"/>
      <c r="AF638" s="91"/>
      <c r="AG638" s="91"/>
      <c r="AH638" s="91"/>
      <c r="AI638" s="91"/>
      <c r="AJ638" s="91"/>
      <c r="AK638" s="91"/>
      <c r="AL638" s="91"/>
      <c r="AM638" s="91"/>
      <c r="AN638" s="91"/>
    </row>
    <row r="639">
      <c r="A639" s="164"/>
      <c r="B639" s="165"/>
      <c r="C639" s="165"/>
      <c r="D639" s="164"/>
      <c r="E639" s="164"/>
      <c r="F639" s="164"/>
      <c r="G639" s="91"/>
      <c r="H639" s="91"/>
      <c r="I639" s="91"/>
      <c r="J639" s="91"/>
      <c r="K639" s="160"/>
      <c r="L639" s="160"/>
      <c r="M639" s="160"/>
      <c r="N639" s="160"/>
      <c r="O639" s="160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  <c r="AC639" s="91"/>
      <c r="AD639" s="91"/>
      <c r="AE639" s="91"/>
      <c r="AF639" s="91"/>
      <c r="AG639" s="91"/>
      <c r="AH639" s="91"/>
      <c r="AI639" s="91"/>
      <c r="AJ639" s="91"/>
      <c r="AK639" s="91"/>
      <c r="AL639" s="91"/>
      <c r="AM639" s="91"/>
      <c r="AN639" s="91"/>
    </row>
    <row r="640">
      <c r="A640" s="164"/>
      <c r="B640" s="165"/>
      <c r="C640" s="165"/>
      <c r="D640" s="164"/>
      <c r="E640" s="164"/>
      <c r="F640" s="164"/>
      <c r="G640" s="91"/>
      <c r="H640" s="91"/>
      <c r="I640" s="91"/>
      <c r="J640" s="91"/>
      <c r="K640" s="160"/>
      <c r="L640" s="160"/>
      <c r="M640" s="160"/>
      <c r="N640" s="160"/>
      <c r="O640" s="160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  <c r="AC640" s="91"/>
      <c r="AD640" s="91"/>
      <c r="AE640" s="91"/>
      <c r="AF640" s="91"/>
      <c r="AG640" s="91"/>
      <c r="AH640" s="91"/>
      <c r="AI640" s="91"/>
      <c r="AJ640" s="91"/>
      <c r="AK640" s="91"/>
      <c r="AL640" s="91"/>
      <c r="AM640" s="91"/>
      <c r="AN640" s="91"/>
    </row>
    <row r="641">
      <c r="A641" s="164"/>
      <c r="B641" s="165"/>
      <c r="C641" s="165"/>
      <c r="D641" s="164"/>
      <c r="E641" s="164"/>
      <c r="F641" s="164"/>
      <c r="G641" s="91"/>
      <c r="H641" s="91"/>
      <c r="I641" s="91"/>
      <c r="J641" s="91"/>
      <c r="K641" s="160"/>
      <c r="L641" s="160"/>
      <c r="M641" s="160"/>
      <c r="N641" s="160"/>
      <c r="O641" s="160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  <c r="AC641" s="91"/>
      <c r="AD641" s="91"/>
      <c r="AE641" s="91"/>
      <c r="AF641" s="91"/>
      <c r="AG641" s="91"/>
      <c r="AH641" s="91"/>
      <c r="AI641" s="91"/>
      <c r="AJ641" s="91"/>
      <c r="AK641" s="91"/>
      <c r="AL641" s="91"/>
      <c r="AM641" s="91"/>
      <c r="AN641" s="91"/>
    </row>
    <row r="642">
      <c r="A642" s="164"/>
      <c r="B642" s="165"/>
      <c r="C642" s="165"/>
      <c r="D642" s="164"/>
      <c r="E642" s="164"/>
      <c r="F642" s="164"/>
      <c r="G642" s="91"/>
      <c r="H642" s="91"/>
      <c r="I642" s="91"/>
      <c r="J642" s="91"/>
      <c r="K642" s="160"/>
      <c r="L642" s="160"/>
      <c r="M642" s="160"/>
      <c r="N642" s="160"/>
      <c r="O642" s="160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91"/>
      <c r="AD642" s="91"/>
      <c r="AE642" s="91"/>
      <c r="AF642" s="91"/>
      <c r="AG642" s="91"/>
      <c r="AH642" s="91"/>
      <c r="AI642" s="91"/>
      <c r="AJ642" s="91"/>
      <c r="AK642" s="91"/>
      <c r="AL642" s="91"/>
      <c r="AM642" s="91"/>
      <c r="AN642" s="91"/>
    </row>
    <row r="643">
      <c r="A643" s="164"/>
      <c r="B643" s="165"/>
      <c r="C643" s="165"/>
      <c r="D643" s="164"/>
      <c r="E643" s="164"/>
      <c r="F643" s="164"/>
      <c r="G643" s="91"/>
      <c r="H643" s="91"/>
      <c r="I643" s="91"/>
      <c r="J643" s="91"/>
      <c r="K643" s="160"/>
      <c r="L643" s="160"/>
      <c r="M643" s="160"/>
      <c r="N643" s="160"/>
      <c r="O643" s="160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91"/>
      <c r="AD643" s="91"/>
      <c r="AE643" s="91"/>
      <c r="AF643" s="91"/>
      <c r="AG643" s="91"/>
      <c r="AH643" s="91"/>
      <c r="AI643" s="91"/>
      <c r="AJ643" s="91"/>
      <c r="AK643" s="91"/>
      <c r="AL643" s="91"/>
      <c r="AM643" s="91"/>
      <c r="AN643" s="91"/>
    </row>
    <row r="644">
      <c r="A644" s="164"/>
      <c r="B644" s="165"/>
      <c r="C644" s="165"/>
      <c r="D644" s="164"/>
      <c r="E644" s="164"/>
      <c r="F644" s="164"/>
      <c r="G644" s="91"/>
      <c r="H644" s="91"/>
      <c r="I644" s="91"/>
      <c r="J644" s="91"/>
      <c r="K644" s="160"/>
      <c r="L644" s="160"/>
      <c r="M644" s="160"/>
      <c r="N644" s="160"/>
      <c r="O644" s="160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91"/>
      <c r="AD644" s="91"/>
      <c r="AE644" s="91"/>
      <c r="AF644" s="91"/>
      <c r="AG644" s="91"/>
      <c r="AH644" s="91"/>
      <c r="AI644" s="91"/>
      <c r="AJ644" s="91"/>
      <c r="AK644" s="91"/>
      <c r="AL644" s="91"/>
      <c r="AM644" s="91"/>
      <c r="AN644" s="91"/>
    </row>
    <row r="645">
      <c r="A645" s="164"/>
      <c r="B645" s="165"/>
      <c r="C645" s="165"/>
      <c r="D645" s="164"/>
      <c r="E645" s="164"/>
      <c r="F645" s="164"/>
      <c r="G645" s="91"/>
      <c r="H645" s="91"/>
      <c r="I645" s="91"/>
      <c r="J645" s="91"/>
      <c r="K645" s="160"/>
      <c r="L645" s="160"/>
      <c r="M645" s="160"/>
      <c r="N645" s="160"/>
      <c r="O645" s="160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  <c r="AC645" s="91"/>
      <c r="AD645" s="91"/>
      <c r="AE645" s="91"/>
      <c r="AF645" s="91"/>
      <c r="AG645" s="91"/>
      <c r="AH645" s="91"/>
      <c r="AI645" s="91"/>
      <c r="AJ645" s="91"/>
      <c r="AK645" s="91"/>
      <c r="AL645" s="91"/>
      <c r="AM645" s="91"/>
      <c r="AN645" s="91"/>
    </row>
    <row r="646">
      <c r="A646" s="164"/>
      <c r="B646" s="165"/>
      <c r="C646" s="165"/>
      <c r="D646" s="164"/>
      <c r="E646" s="164"/>
      <c r="F646" s="164"/>
      <c r="G646" s="91"/>
      <c r="H646" s="91"/>
      <c r="I646" s="91"/>
      <c r="J646" s="91"/>
      <c r="K646" s="160"/>
      <c r="L646" s="160"/>
      <c r="M646" s="160"/>
      <c r="N646" s="160"/>
      <c r="O646" s="160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  <c r="AC646" s="91"/>
      <c r="AD646" s="91"/>
      <c r="AE646" s="91"/>
      <c r="AF646" s="91"/>
      <c r="AG646" s="91"/>
      <c r="AH646" s="91"/>
      <c r="AI646" s="91"/>
      <c r="AJ646" s="91"/>
      <c r="AK646" s="91"/>
      <c r="AL646" s="91"/>
      <c r="AM646" s="91"/>
      <c r="AN646" s="91"/>
    </row>
    <row r="647">
      <c r="A647" s="164"/>
      <c r="B647" s="165"/>
      <c r="C647" s="165"/>
      <c r="D647" s="164"/>
      <c r="E647" s="164"/>
      <c r="F647" s="164"/>
      <c r="G647" s="91"/>
      <c r="H647" s="91"/>
      <c r="I647" s="91"/>
      <c r="J647" s="91"/>
      <c r="K647" s="160"/>
      <c r="L647" s="160"/>
      <c r="M647" s="160"/>
      <c r="N647" s="160"/>
      <c r="O647" s="160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  <c r="AC647" s="91"/>
      <c r="AD647" s="91"/>
      <c r="AE647" s="91"/>
      <c r="AF647" s="91"/>
      <c r="AG647" s="91"/>
      <c r="AH647" s="91"/>
      <c r="AI647" s="91"/>
      <c r="AJ647" s="91"/>
      <c r="AK647" s="91"/>
      <c r="AL647" s="91"/>
      <c r="AM647" s="91"/>
      <c r="AN647" s="91"/>
    </row>
    <row r="648">
      <c r="A648" s="164"/>
      <c r="B648" s="165"/>
      <c r="C648" s="165"/>
      <c r="D648" s="164"/>
      <c r="E648" s="164"/>
      <c r="F648" s="164"/>
      <c r="G648" s="91"/>
      <c r="H648" s="91"/>
      <c r="I648" s="91"/>
      <c r="J648" s="91"/>
      <c r="K648" s="160"/>
      <c r="L648" s="160"/>
      <c r="M648" s="160"/>
      <c r="N648" s="160"/>
      <c r="O648" s="160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  <c r="AC648" s="91"/>
      <c r="AD648" s="91"/>
      <c r="AE648" s="91"/>
      <c r="AF648" s="91"/>
      <c r="AG648" s="91"/>
      <c r="AH648" s="91"/>
      <c r="AI648" s="91"/>
      <c r="AJ648" s="91"/>
      <c r="AK648" s="91"/>
      <c r="AL648" s="91"/>
      <c r="AM648" s="91"/>
      <c r="AN648" s="91"/>
    </row>
    <row r="649">
      <c r="A649" s="164"/>
      <c r="B649" s="165"/>
      <c r="C649" s="165"/>
      <c r="D649" s="164"/>
      <c r="E649" s="164"/>
      <c r="F649" s="164"/>
      <c r="G649" s="91"/>
      <c r="H649" s="91"/>
      <c r="I649" s="91"/>
      <c r="J649" s="91"/>
      <c r="K649" s="160"/>
      <c r="L649" s="160"/>
      <c r="M649" s="160"/>
      <c r="N649" s="160"/>
      <c r="O649" s="160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  <c r="AC649" s="91"/>
      <c r="AD649" s="91"/>
      <c r="AE649" s="91"/>
      <c r="AF649" s="91"/>
      <c r="AG649" s="91"/>
      <c r="AH649" s="91"/>
      <c r="AI649" s="91"/>
      <c r="AJ649" s="91"/>
      <c r="AK649" s="91"/>
      <c r="AL649" s="91"/>
      <c r="AM649" s="91"/>
      <c r="AN649" s="91"/>
    </row>
    <row r="650">
      <c r="A650" s="164"/>
      <c r="B650" s="165"/>
      <c r="C650" s="165"/>
      <c r="D650" s="164"/>
      <c r="E650" s="164"/>
      <c r="F650" s="164"/>
      <c r="G650" s="91"/>
      <c r="H650" s="91"/>
      <c r="I650" s="91"/>
      <c r="J650" s="91"/>
      <c r="K650" s="160"/>
      <c r="L650" s="160"/>
      <c r="M650" s="160"/>
      <c r="N650" s="160"/>
      <c r="O650" s="160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  <c r="AC650" s="91"/>
      <c r="AD650" s="91"/>
      <c r="AE650" s="91"/>
      <c r="AF650" s="91"/>
      <c r="AG650" s="91"/>
      <c r="AH650" s="91"/>
      <c r="AI650" s="91"/>
      <c r="AJ650" s="91"/>
      <c r="AK650" s="91"/>
      <c r="AL650" s="91"/>
      <c r="AM650" s="91"/>
      <c r="AN650" s="91"/>
    </row>
    <row r="651">
      <c r="A651" s="164"/>
      <c r="B651" s="165"/>
      <c r="C651" s="165"/>
      <c r="D651" s="164"/>
      <c r="E651" s="164"/>
      <c r="F651" s="164"/>
      <c r="G651" s="91"/>
      <c r="H651" s="91"/>
      <c r="I651" s="91"/>
      <c r="J651" s="91"/>
      <c r="K651" s="160"/>
      <c r="L651" s="160"/>
      <c r="M651" s="160"/>
      <c r="N651" s="160"/>
      <c r="O651" s="160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  <c r="AC651" s="91"/>
      <c r="AD651" s="91"/>
      <c r="AE651" s="91"/>
      <c r="AF651" s="91"/>
      <c r="AG651" s="91"/>
      <c r="AH651" s="91"/>
      <c r="AI651" s="91"/>
      <c r="AJ651" s="91"/>
      <c r="AK651" s="91"/>
      <c r="AL651" s="91"/>
      <c r="AM651" s="91"/>
      <c r="AN651" s="91"/>
    </row>
    <row r="652">
      <c r="A652" s="164"/>
      <c r="B652" s="165"/>
      <c r="C652" s="165"/>
      <c r="D652" s="164"/>
      <c r="E652" s="164"/>
      <c r="F652" s="164"/>
      <c r="G652" s="91"/>
      <c r="H652" s="91"/>
      <c r="I652" s="91"/>
      <c r="J652" s="91"/>
      <c r="K652" s="160"/>
      <c r="L652" s="160"/>
      <c r="M652" s="160"/>
      <c r="N652" s="160"/>
      <c r="O652" s="160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  <c r="AC652" s="91"/>
      <c r="AD652" s="91"/>
      <c r="AE652" s="91"/>
      <c r="AF652" s="91"/>
      <c r="AG652" s="91"/>
      <c r="AH652" s="91"/>
      <c r="AI652" s="91"/>
      <c r="AJ652" s="91"/>
      <c r="AK652" s="91"/>
      <c r="AL652" s="91"/>
      <c r="AM652" s="91"/>
      <c r="AN652" s="91"/>
    </row>
    <row r="653">
      <c r="A653" s="164"/>
      <c r="B653" s="165"/>
      <c r="C653" s="165"/>
      <c r="D653" s="164"/>
      <c r="E653" s="164"/>
      <c r="F653" s="164"/>
      <c r="G653" s="91"/>
      <c r="H653" s="91"/>
      <c r="I653" s="91"/>
      <c r="J653" s="91"/>
      <c r="K653" s="160"/>
      <c r="L653" s="160"/>
      <c r="M653" s="160"/>
      <c r="N653" s="160"/>
      <c r="O653" s="160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  <c r="AC653" s="91"/>
      <c r="AD653" s="91"/>
      <c r="AE653" s="91"/>
      <c r="AF653" s="91"/>
      <c r="AG653" s="91"/>
      <c r="AH653" s="91"/>
      <c r="AI653" s="91"/>
      <c r="AJ653" s="91"/>
      <c r="AK653" s="91"/>
      <c r="AL653" s="91"/>
      <c r="AM653" s="91"/>
      <c r="AN653" s="91"/>
    </row>
    <row r="654">
      <c r="A654" s="164"/>
      <c r="B654" s="165"/>
      <c r="C654" s="165"/>
      <c r="D654" s="164"/>
      <c r="E654" s="164"/>
      <c r="F654" s="164"/>
      <c r="G654" s="91"/>
      <c r="H654" s="91"/>
      <c r="I654" s="91"/>
      <c r="J654" s="91"/>
      <c r="K654" s="160"/>
      <c r="L654" s="160"/>
      <c r="M654" s="160"/>
      <c r="N654" s="160"/>
      <c r="O654" s="160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  <c r="AC654" s="91"/>
      <c r="AD654" s="91"/>
      <c r="AE654" s="91"/>
      <c r="AF654" s="91"/>
      <c r="AG654" s="91"/>
      <c r="AH654" s="91"/>
      <c r="AI654" s="91"/>
      <c r="AJ654" s="91"/>
      <c r="AK654" s="91"/>
      <c r="AL654" s="91"/>
      <c r="AM654" s="91"/>
      <c r="AN654" s="91"/>
    </row>
    <row r="655">
      <c r="A655" s="164"/>
      <c r="B655" s="165"/>
      <c r="C655" s="165"/>
      <c r="D655" s="164"/>
      <c r="E655" s="164"/>
      <c r="F655" s="164"/>
      <c r="G655" s="91"/>
      <c r="H655" s="91"/>
      <c r="I655" s="91"/>
      <c r="J655" s="91"/>
      <c r="K655" s="160"/>
      <c r="L655" s="160"/>
      <c r="M655" s="160"/>
      <c r="N655" s="160"/>
      <c r="O655" s="160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  <c r="AC655" s="91"/>
      <c r="AD655" s="91"/>
      <c r="AE655" s="91"/>
      <c r="AF655" s="91"/>
      <c r="AG655" s="91"/>
      <c r="AH655" s="91"/>
      <c r="AI655" s="91"/>
      <c r="AJ655" s="91"/>
      <c r="AK655" s="91"/>
      <c r="AL655" s="91"/>
      <c r="AM655" s="91"/>
      <c r="AN655" s="91"/>
    </row>
    <row r="656">
      <c r="A656" s="164"/>
      <c r="B656" s="165"/>
      <c r="C656" s="165"/>
      <c r="D656" s="164"/>
      <c r="E656" s="164"/>
      <c r="F656" s="164"/>
      <c r="G656" s="91"/>
      <c r="H656" s="91"/>
      <c r="I656" s="91"/>
      <c r="J656" s="91"/>
      <c r="K656" s="160"/>
      <c r="L656" s="160"/>
      <c r="M656" s="160"/>
      <c r="N656" s="160"/>
      <c r="O656" s="160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  <c r="AC656" s="91"/>
      <c r="AD656" s="91"/>
      <c r="AE656" s="91"/>
      <c r="AF656" s="91"/>
      <c r="AG656" s="91"/>
      <c r="AH656" s="91"/>
      <c r="AI656" s="91"/>
      <c r="AJ656" s="91"/>
      <c r="AK656" s="91"/>
      <c r="AL656" s="91"/>
      <c r="AM656" s="91"/>
      <c r="AN656" s="91"/>
    </row>
    <row r="657">
      <c r="A657" s="164"/>
      <c r="B657" s="165"/>
      <c r="C657" s="165"/>
      <c r="D657" s="164"/>
      <c r="E657" s="164"/>
      <c r="F657" s="164"/>
      <c r="G657" s="91"/>
      <c r="H657" s="91"/>
      <c r="I657" s="91"/>
      <c r="J657" s="91"/>
      <c r="K657" s="160"/>
      <c r="L657" s="160"/>
      <c r="M657" s="160"/>
      <c r="N657" s="160"/>
      <c r="O657" s="160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  <c r="AC657" s="91"/>
      <c r="AD657" s="91"/>
      <c r="AE657" s="91"/>
      <c r="AF657" s="91"/>
      <c r="AG657" s="91"/>
      <c r="AH657" s="91"/>
      <c r="AI657" s="91"/>
      <c r="AJ657" s="91"/>
      <c r="AK657" s="91"/>
      <c r="AL657" s="91"/>
      <c r="AM657" s="91"/>
      <c r="AN657" s="91"/>
    </row>
    <row r="658">
      <c r="A658" s="164"/>
      <c r="B658" s="165"/>
      <c r="C658" s="165"/>
      <c r="D658" s="164"/>
      <c r="E658" s="164"/>
      <c r="F658" s="164"/>
      <c r="G658" s="91"/>
      <c r="H658" s="91"/>
      <c r="I658" s="91"/>
      <c r="J658" s="91"/>
      <c r="K658" s="160"/>
      <c r="L658" s="160"/>
      <c r="M658" s="160"/>
      <c r="N658" s="160"/>
      <c r="O658" s="160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  <c r="AC658" s="91"/>
      <c r="AD658" s="91"/>
      <c r="AE658" s="91"/>
      <c r="AF658" s="91"/>
      <c r="AG658" s="91"/>
      <c r="AH658" s="91"/>
      <c r="AI658" s="91"/>
      <c r="AJ658" s="91"/>
      <c r="AK658" s="91"/>
      <c r="AL658" s="91"/>
      <c r="AM658" s="91"/>
      <c r="AN658" s="91"/>
    </row>
    <row r="659">
      <c r="A659" s="164"/>
      <c r="B659" s="165"/>
      <c r="C659" s="165"/>
      <c r="D659" s="164"/>
      <c r="E659" s="164"/>
      <c r="F659" s="164"/>
      <c r="G659" s="91"/>
      <c r="H659" s="91"/>
      <c r="I659" s="91"/>
      <c r="J659" s="91"/>
      <c r="K659" s="160"/>
      <c r="L659" s="160"/>
      <c r="M659" s="160"/>
      <c r="N659" s="160"/>
      <c r="O659" s="160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  <c r="AC659" s="91"/>
      <c r="AD659" s="91"/>
      <c r="AE659" s="91"/>
      <c r="AF659" s="91"/>
      <c r="AG659" s="91"/>
      <c r="AH659" s="91"/>
      <c r="AI659" s="91"/>
      <c r="AJ659" s="91"/>
      <c r="AK659" s="91"/>
      <c r="AL659" s="91"/>
      <c r="AM659" s="91"/>
      <c r="AN659" s="91"/>
    </row>
    <row r="660">
      <c r="A660" s="164"/>
      <c r="B660" s="165"/>
      <c r="C660" s="165"/>
      <c r="D660" s="164"/>
      <c r="E660" s="164"/>
      <c r="F660" s="164"/>
      <c r="G660" s="91"/>
      <c r="H660" s="91"/>
      <c r="I660" s="91"/>
      <c r="J660" s="91"/>
      <c r="K660" s="160"/>
      <c r="L660" s="160"/>
      <c r="M660" s="160"/>
      <c r="N660" s="160"/>
      <c r="O660" s="160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  <c r="AC660" s="91"/>
      <c r="AD660" s="91"/>
      <c r="AE660" s="91"/>
      <c r="AF660" s="91"/>
      <c r="AG660" s="91"/>
      <c r="AH660" s="91"/>
      <c r="AI660" s="91"/>
      <c r="AJ660" s="91"/>
      <c r="AK660" s="91"/>
      <c r="AL660" s="91"/>
      <c r="AM660" s="91"/>
      <c r="AN660" s="91"/>
    </row>
    <row r="661">
      <c r="A661" s="164"/>
      <c r="B661" s="165"/>
      <c r="C661" s="165"/>
      <c r="D661" s="164"/>
      <c r="E661" s="164"/>
      <c r="F661" s="164"/>
      <c r="G661" s="91"/>
      <c r="H661" s="91"/>
      <c r="I661" s="91"/>
      <c r="J661" s="91"/>
      <c r="K661" s="160"/>
      <c r="L661" s="160"/>
      <c r="M661" s="160"/>
      <c r="N661" s="160"/>
      <c r="O661" s="160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  <c r="AC661" s="91"/>
      <c r="AD661" s="91"/>
      <c r="AE661" s="91"/>
      <c r="AF661" s="91"/>
      <c r="AG661" s="91"/>
      <c r="AH661" s="91"/>
      <c r="AI661" s="91"/>
      <c r="AJ661" s="91"/>
      <c r="AK661" s="91"/>
      <c r="AL661" s="91"/>
      <c r="AM661" s="91"/>
      <c r="AN661" s="91"/>
    </row>
    <row r="662">
      <c r="A662" s="164"/>
      <c r="B662" s="165"/>
      <c r="C662" s="165"/>
      <c r="D662" s="164"/>
      <c r="E662" s="164"/>
      <c r="F662" s="164"/>
      <c r="G662" s="91"/>
      <c r="H662" s="91"/>
      <c r="I662" s="91"/>
      <c r="J662" s="91"/>
      <c r="K662" s="160"/>
      <c r="L662" s="160"/>
      <c r="M662" s="160"/>
      <c r="N662" s="160"/>
      <c r="O662" s="160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  <c r="AC662" s="91"/>
      <c r="AD662" s="91"/>
      <c r="AE662" s="91"/>
      <c r="AF662" s="91"/>
      <c r="AG662" s="91"/>
      <c r="AH662" s="91"/>
      <c r="AI662" s="91"/>
      <c r="AJ662" s="91"/>
      <c r="AK662" s="91"/>
      <c r="AL662" s="91"/>
      <c r="AM662" s="91"/>
      <c r="AN662" s="91"/>
    </row>
    <row r="663">
      <c r="A663" s="164"/>
      <c r="B663" s="165"/>
      <c r="C663" s="165"/>
      <c r="D663" s="164"/>
      <c r="E663" s="164"/>
      <c r="F663" s="164"/>
      <c r="G663" s="91"/>
      <c r="H663" s="91"/>
      <c r="I663" s="91"/>
      <c r="J663" s="91"/>
      <c r="K663" s="160"/>
      <c r="L663" s="160"/>
      <c r="M663" s="160"/>
      <c r="N663" s="160"/>
      <c r="O663" s="160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  <c r="AC663" s="91"/>
      <c r="AD663" s="91"/>
      <c r="AE663" s="91"/>
      <c r="AF663" s="91"/>
      <c r="AG663" s="91"/>
      <c r="AH663" s="91"/>
      <c r="AI663" s="91"/>
      <c r="AJ663" s="91"/>
      <c r="AK663" s="91"/>
      <c r="AL663" s="91"/>
      <c r="AM663" s="91"/>
      <c r="AN663" s="91"/>
    </row>
    <row r="664">
      <c r="A664" s="164"/>
      <c r="B664" s="165"/>
      <c r="C664" s="165"/>
      <c r="D664" s="164"/>
      <c r="E664" s="164"/>
      <c r="F664" s="164"/>
      <c r="G664" s="91"/>
      <c r="H664" s="91"/>
      <c r="I664" s="91"/>
      <c r="J664" s="91"/>
      <c r="K664" s="160"/>
      <c r="L664" s="160"/>
      <c r="M664" s="160"/>
      <c r="N664" s="160"/>
      <c r="O664" s="160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  <c r="AC664" s="91"/>
      <c r="AD664" s="91"/>
      <c r="AE664" s="91"/>
      <c r="AF664" s="91"/>
      <c r="AG664" s="91"/>
      <c r="AH664" s="91"/>
      <c r="AI664" s="91"/>
      <c r="AJ664" s="91"/>
      <c r="AK664" s="91"/>
      <c r="AL664" s="91"/>
      <c r="AM664" s="91"/>
      <c r="AN664" s="91"/>
    </row>
    <row r="665">
      <c r="A665" s="164"/>
      <c r="B665" s="165"/>
      <c r="C665" s="165"/>
      <c r="D665" s="164"/>
      <c r="E665" s="164"/>
      <c r="F665" s="164"/>
      <c r="G665" s="91"/>
      <c r="H665" s="91"/>
      <c r="I665" s="91"/>
      <c r="J665" s="91"/>
      <c r="K665" s="160"/>
      <c r="L665" s="160"/>
      <c r="M665" s="160"/>
      <c r="N665" s="160"/>
      <c r="O665" s="160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  <c r="AC665" s="91"/>
      <c r="AD665" s="91"/>
      <c r="AE665" s="91"/>
      <c r="AF665" s="91"/>
      <c r="AG665" s="91"/>
      <c r="AH665" s="91"/>
      <c r="AI665" s="91"/>
      <c r="AJ665" s="91"/>
      <c r="AK665" s="91"/>
      <c r="AL665" s="91"/>
      <c r="AM665" s="91"/>
      <c r="AN665" s="91"/>
    </row>
    <row r="666">
      <c r="A666" s="164"/>
      <c r="B666" s="165"/>
      <c r="C666" s="165"/>
      <c r="D666" s="164"/>
      <c r="E666" s="164"/>
      <c r="F666" s="164"/>
      <c r="G666" s="91"/>
      <c r="H666" s="91"/>
      <c r="I666" s="91"/>
      <c r="J666" s="91"/>
      <c r="K666" s="160"/>
      <c r="L666" s="160"/>
      <c r="M666" s="160"/>
      <c r="N666" s="160"/>
      <c r="O666" s="160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  <c r="AC666" s="91"/>
      <c r="AD666" s="91"/>
      <c r="AE666" s="91"/>
      <c r="AF666" s="91"/>
      <c r="AG666" s="91"/>
      <c r="AH666" s="91"/>
      <c r="AI666" s="91"/>
      <c r="AJ666" s="91"/>
      <c r="AK666" s="91"/>
      <c r="AL666" s="91"/>
      <c r="AM666" s="91"/>
      <c r="AN666" s="91"/>
    </row>
    <row r="667">
      <c r="A667" s="164"/>
      <c r="B667" s="165"/>
      <c r="C667" s="165"/>
      <c r="D667" s="164"/>
      <c r="E667" s="164"/>
      <c r="F667" s="164"/>
      <c r="G667" s="91"/>
      <c r="H667" s="91"/>
      <c r="I667" s="91"/>
      <c r="J667" s="91"/>
      <c r="K667" s="160"/>
      <c r="L667" s="160"/>
      <c r="M667" s="160"/>
      <c r="N667" s="160"/>
      <c r="O667" s="160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91"/>
      <c r="AD667" s="91"/>
      <c r="AE667" s="91"/>
      <c r="AF667" s="91"/>
      <c r="AG667" s="91"/>
      <c r="AH667" s="91"/>
      <c r="AI667" s="91"/>
      <c r="AJ667" s="91"/>
      <c r="AK667" s="91"/>
      <c r="AL667" s="91"/>
      <c r="AM667" s="91"/>
      <c r="AN667" s="91"/>
    </row>
    <row r="668">
      <c r="A668" s="164"/>
      <c r="B668" s="165"/>
      <c r="C668" s="165"/>
      <c r="D668" s="164"/>
      <c r="E668" s="164"/>
      <c r="F668" s="164"/>
      <c r="G668" s="91"/>
      <c r="H668" s="91"/>
      <c r="I668" s="91"/>
      <c r="J668" s="91"/>
      <c r="K668" s="160"/>
      <c r="L668" s="160"/>
      <c r="M668" s="160"/>
      <c r="N668" s="160"/>
      <c r="O668" s="160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  <c r="AC668" s="91"/>
      <c r="AD668" s="91"/>
      <c r="AE668" s="91"/>
      <c r="AF668" s="91"/>
      <c r="AG668" s="91"/>
      <c r="AH668" s="91"/>
      <c r="AI668" s="91"/>
      <c r="AJ668" s="91"/>
      <c r="AK668" s="91"/>
      <c r="AL668" s="91"/>
      <c r="AM668" s="91"/>
      <c r="AN668" s="91"/>
    </row>
    <row r="669">
      <c r="A669" s="164"/>
      <c r="B669" s="165"/>
      <c r="C669" s="165"/>
      <c r="D669" s="164"/>
      <c r="E669" s="164"/>
      <c r="F669" s="164"/>
      <c r="G669" s="91"/>
      <c r="H669" s="91"/>
      <c r="I669" s="91"/>
      <c r="J669" s="91"/>
      <c r="K669" s="160"/>
      <c r="L669" s="160"/>
      <c r="M669" s="160"/>
      <c r="N669" s="160"/>
      <c r="O669" s="160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  <c r="AC669" s="91"/>
      <c r="AD669" s="91"/>
      <c r="AE669" s="91"/>
      <c r="AF669" s="91"/>
      <c r="AG669" s="91"/>
      <c r="AH669" s="91"/>
      <c r="AI669" s="91"/>
      <c r="AJ669" s="91"/>
      <c r="AK669" s="91"/>
      <c r="AL669" s="91"/>
      <c r="AM669" s="91"/>
      <c r="AN669" s="91"/>
    </row>
    <row r="670">
      <c r="A670" s="164"/>
      <c r="B670" s="165"/>
      <c r="C670" s="165"/>
      <c r="D670" s="164"/>
      <c r="E670" s="164"/>
      <c r="F670" s="164"/>
      <c r="G670" s="91"/>
      <c r="H670" s="91"/>
      <c r="I670" s="91"/>
      <c r="J670" s="91"/>
      <c r="K670" s="160"/>
      <c r="L670" s="160"/>
      <c r="M670" s="160"/>
      <c r="N670" s="160"/>
      <c r="O670" s="160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  <c r="AC670" s="91"/>
      <c r="AD670" s="91"/>
      <c r="AE670" s="91"/>
      <c r="AF670" s="91"/>
      <c r="AG670" s="91"/>
      <c r="AH670" s="91"/>
      <c r="AI670" s="91"/>
      <c r="AJ670" s="91"/>
      <c r="AK670" s="91"/>
      <c r="AL670" s="91"/>
      <c r="AM670" s="91"/>
      <c r="AN670" s="91"/>
    </row>
    <row r="671">
      <c r="A671" s="164"/>
      <c r="B671" s="165"/>
      <c r="C671" s="165"/>
      <c r="D671" s="164"/>
      <c r="E671" s="164"/>
      <c r="F671" s="164"/>
      <c r="G671" s="91"/>
      <c r="H671" s="91"/>
      <c r="I671" s="91"/>
      <c r="J671" s="91"/>
      <c r="K671" s="160"/>
      <c r="L671" s="160"/>
      <c r="M671" s="160"/>
      <c r="N671" s="160"/>
      <c r="O671" s="160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  <c r="AC671" s="91"/>
      <c r="AD671" s="91"/>
      <c r="AE671" s="91"/>
      <c r="AF671" s="91"/>
      <c r="AG671" s="91"/>
      <c r="AH671" s="91"/>
      <c r="AI671" s="91"/>
      <c r="AJ671" s="91"/>
      <c r="AK671" s="91"/>
      <c r="AL671" s="91"/>
      <c r="AM671" s="91"/>
      <c r="AN671" s="91"/>
    </row>
    <row r="672">
      <c r="A672" s="164"/>
      <c r="B672" s="165"/>
      <c r="C672" s="165"/>
      <c r="D672" s="164"/>
      <c r="E672" s="164"/>
      <c r="F672" s="164"/>
      <c r="G672" s="91"/>
      <c r="H672" s="91"/>
      <c r="I672" s="91"/>
      <c r="J672" s="91"/>
      <c r="K672" s="160"/>
      <c r="L672" s="160"/>
      <c r="M672" s="160"/>
      <c r="N672" s="160"/>
      <c r="O672" s="160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  <c r="AC672" s="91"/>
      <c r="AD672" s="91"/>
      <c r="AE672" s="91"/>
      <c r="AF672" s="91"/>
      <c r="AG672" s="91"/>
      <c r="AH672" s="91"/>
      <c r="AI672" s="91"/>
      <c r="AJ672" s="91"/>
      <c r="AK672" s="91"/>
      <c r="AL672" s="91"/>
      <c r="AM672" s="91"/>
      <c r="AN672" s="91"/>
    </row>
    <row r="673">
      <c r="A673" s="164"/>
      <c r="B673" s="165"/>
      <c r="C673" s="165"/>
      <c r="D673" s="164"/>
      <c r="E673" s="164"/>
      <c r="F673" s="164"/>
      <c r="G673" s="91"/>
      <c r="H673" s="91"/>
      <c r="I673" s="91"/>
      <c r="J673" s="91"/>
      <c r="K673" s="160"/>
      <c r="L673" s="160"/>
      <c r="M673" s="160"/>
      <c r="N673" s="160"/>
      <c r="O673" s="160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  <c r="AC673" s="91"/>
      <c r="AD673" s="91"/>
      <c r="AE673" s="91"/>
      <c r="AF673" s="91"/>
      <c r="AG673" s="91"/>
      <c r="AH673" s="91"/>
      <c r="AI673" s="91"/>
      <c r="AJ673" s="91"/>
      <c r="AK673" s="91"/>
      <c r="AL673" s="91"/>
      <c r="AM673" s="91"/>
      <c r="AN673" s="91"/>
    </row>
    <row r="674">
      <c r="A674" s="164"/>
      <c r="B674" s="165"/>
      <c r="C674" s="165"/>
      <c r="D674" s="164"/>
      <c r="E674" s="164"/>
      <c r="F674" s="164"/>
      <c r="G674" s="91"/>
      <c r="H674" s="91"/>
      <c r="I674" s="91"/>
      <c r="J674" s="91"/>
      <c r="K674" s="160"/>
      <c r="L674" s="160"/>
      <c r="M674" s="160"/>
      <c r="N674" s="160"/>
      <c r="O674" s="160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  <c r="AC674" s="91"/>
      <c r="AD674" s="91"/>
      <c r="AE674" s="91"/>
      <c r="AF674" s="91"/>
      <c r="AG674" s="91"/>
      <c r="AH674" s="91"/>
      <c r="AI674" s="91"/>
      <c r="AJ674" s="91"/>
      <c r="AK674" s="91"/>
      <c r="AL674" s="91"/>
      <c r="AM674" s="91"/>
      <c r="AN674" s="91"/>
    </row>
    <row r="675">
      <c r="A675" s="164"/>
      <c r="B675" s="165"/>
      <c r="C675" s="165"/>
      <c r="D675" s="164"/>
      <c r="E675" s="164"/>
      <c r="F675" s="164"/>
      <c r="G675" s="91"/>
      <c r="H675" s="91"/>
      <c r="I675" s="91"/>
      <c r="J675" s="91"/>
      <c r="K675" s="160"/>
      <c r="L675" s="160"/>
      <c r="M675" s="160"/>
      <c r="N675" s="160"/>
      <c r="O675" s="160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  <c r="AC675" s="91"/>
      <c r="AD675" s="91"/>
      <c r="AE675" s="91"/>
      <c r="AF675" s="91"/>
      <c r="AG675" s="91"/>
      <c r="AH675" s="91"/>
      <c r="AI675" s="91"/>
      <c r="AJ675" s="91"/>
      <c r="AK675" s="91"/>
      <c r="AL675" s="91"/>
      <c r="AM675" s="91"/>
      <c r="AN675" s="91"/>
    </row>
    <row r="676">
      <c r="A676" s="164"/>
      <c r="B676" s="165"/>
      <c r="C676" s="165"/>
      <c r="D676" s="164"/>
      <c r="E676" s="164"/>
      <c r="F676" s="164"/>
      <c r="G676" s="91"/>
      <c r="H676" s="91"/>
      <c r="I676" s="91"/>
      <c r="J676" s="91"/>
      <c r="K676" s="160"/>
      <c r="L676" s="160"/>
      <c r="M676" s="160"/>
      <c r="N676" s="160"/>
      <c r="O676" s="160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  <c r="AC676" s="91"/>
      <c r="AD676" s="91"/>
      <c r="AE676" s="91"/>
      <c r="AF676" s="91"/>
      <c r="AG676" s="91"/>
      <c r="AH676" s="91"/>
      <c r="AI676" s="91"/>
      <c r="AJ676" s="91"/>
      <c r="AK676" s="91"/>
      <c r="AL676" s="91"/>
      <c r="AM676" s="91"/>
      <c r="AN676" s="91"/>
    </row>
    <row r="677">
      <c r="A677" s="164"/>
      <c r="B677" s="165"/>
      <c r="C677" s="165"/>
      <c r="D677" s="164"/>
      <c r="E677" s="164"/>
      <c r="F677" s="164"/>
      <c r="G677" s="91"/>
      <c r="H677" s="91"/>
      <c r="I677" s="91"/>
      <c r="J677" s="91"/>
      <c r="K677" s="160"/>
      <c r="L677" s="160"/>
      <c r="M677" s="160"/>
      <c r="N677" s="160"/>
      <c r="O677" s="160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  <c r="AC677" s="91"/>
      <c r="AD677" s="91"/>
      <c r="AE677" s="91"/>
      <c r="AF677" s="91"/>
      <c r="AG677" s="91"/>
      <c r="AH677" s="91"/>
      <c r="AI677" s="91"/>
      <c r="AJ677" s="91"/>
      <c r="AK677" s="91"/>
      <c r="AL677" s="91"/>
      <c r="AM677" s="91"/>
      <c r="AN677" s="91"/>
    </row>
    <row r="678">
      <c r="A678" s="164"/>
      <c r="B678" s="165"/>
      <c r="C678" s="165"/>
      <c r="D678" s="164"/>
      <c r="E678" s="164"/>
      <c r="F678" s="164"/>
      <c r="G678" s="91"/>
      <c r="H678" s="91"/>
      <c r="I678" s="91"/>
      <c r="J678" s="91"/>
      <c r="K678" s="160"/>
      <c r="L678" s="160"/>
      <c r="M678" s="160"/>
      <c r="N678" s="160"/>
      <c r="O678" s="160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  <c r="AC678" s="91"/>
      <c r="AD678" s="91"/>
      <c r="AE678" s="91"/>
      <c r="AF678" s="91"/>
      <c r="AG678" s="91"/>
      <c r="AH678" s="91"/>
      <c r="AI678" s="91"/>
      <c r="AJ678" s="91"/>
      <c r="AK678" s="91"/>
      <c r="AL678" s="91"/>
      <c r="AM678" s="91"/>
      <c r="AN678" s="91"/>
    </row>
    <row r="679">
      <c r="A679" s="164"/>
      <c r="B679" s="165"/>
      <c r="C679" s="165"/>
      <c r="D679" s="164"/>
      <c r="E679" s="164"/>
      <c r="F679" s="164"/>
      <c r="G679" s="91"/>
      <c r="H679" s="91"/>
      <c r="I679" s="91"/>
      <c r="J679" s="91"/>
      <c r="K679" s="160"/>
      <c r="L679" s="160"/>
      <c r="M679" s="160"/>
      <c r="N679" s="160"/>
      <c r="O679" s="160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  <c r="AC679" s="91"/>
      <c r="AD679" s="91"/>
      <c r="AE679" s="91"/>
      <c r="AF679" s="91"/>
      <c r="AG679" s="91"/>
      <c r="AH679" s="91"/>
      <c r="AI679" s="91"/>
      <c r="AJ679" s="91"/>
      <c r="AK679" s="91"/>
      <c r="AL679" s="91"/>
      <c r="AM679" s="91"/>
      <c r="AN679" s="91"/>
    </row>
    <row r="680">
      <c r="A680" s="164"/>
      <c r="B680" s="165"/>
      <c r="C680" s="165"/>
      <c r="D680" s="164"/>
      <c r="E680" s="164"/>
      <c r="F680" s="164"/>
      <c r="G680" s="91"/>
      <c r="H680" s="91"/>
      <c r="I680" s="91"/>
      <c r="J680" s="91"/>
      <c r="K680" s="160"/>
      <c r="L680" s="160"/>
      <c r="M680" s="160"/>
      <c r="N680" s="160"/>
      <c r="O680" s="160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  <c r="AC680" s="91"/>
      <c r="AD680" s="91"/>
      <c r="AE680" s="91"/>
      <c r="AF680" s="91"/>
      <c r="AG680" s="91"/>
      <c r="AH680" s="91"/>
      <c r="AI680" s="91"/>
      <c r="AJ680" s="91"/>
      <c r="AK680" s="91"/>
      <c r="AL680" s="91"/>
      <c r="AM680" s="91"/>
      <c r="AN680" s="91"/>
    </row>
    <row r="681">
      <c r="A681" s="164"/>
      <c r="B681" s="165"/>
      <c r="C681" s="165"/>
      <c r="D681" s="164"/>
      <c r="E681" s="164"/>
      <c r="F681" s="164"/>
      <c r="G681" s="91"/>
      <c r="H681" s="91"/>
      <c r="I681" s="91"/>
      <c r="J681" s="91"/>
      <c r="K681" s="160"/>
      <c r="L681" s="160"/>
      <c r="M681" s="160"/>
      <c r="N681" s="160"/>
      <c r="O681" s="160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  <c r="AC681" s="91"/>
      <c r="AD681" s="91"/>
      <c r="AE681" s="91"/>
      <c r="AF681" s="91"/>
      <c r="AG681" s="91"/>
      <c r="AH681" s="91"/>
      <c r="AI681" s="91"/>
      <c r="AJ681" s="91"/>
      <c r="AK681" s="91"/>
      <c r="AL681" s="91"/>
      <c r="AM681" s="91"/>
      <c r="AN681" s="91"/>
    </row>
    <row r="682">
      <c r="A682" s="164"/>
      <c r="B682" s="165"/>
      <c r="C682" s="165"/>
      <c r="D682" s="164"/>
      <c r="E682" s="164"/>
      <c r="F682" s="164"/>
      <c r="G682" s="91"/>
      <c r="H682" s="91"/>
      <c r="I682" s="91"/>
      <c r="J682" s="91"/>
      <c r="K682" s="160"/>
      <c r="L682" s="160"/>
      <c r="M682" s="160"/>
      <c r="N682" s="160"/>
      <c r="O682" s="160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  <c r="AC682" s="91"/>
      <c r="AD682" s="91"/>
      <c r="AE682" s="91"/>
      <c r="AF682" s="91"/>
      <c r="AG682" s="91"/>
      <c r="AH682" s="91"/>
      <c r="AI682" s="91"/>
      <c r="AJ682" s="91"/>
      <c r="AK682" s="91"/>
      <c r="AL682" s="91"/>
      <c r="AM682" s="91"/>
      <c r="AN682" s="91"/>
    </row>
    <row r="683">
      <c r="A683" s="164"/>
      <c r="B683" s="165"/>
      <c r="C683" s="165"/>
      <c r="D683" s="164"/>
      <c r="E683" s="164"/>
      <c r="F683" s="164"/>
      <c r="G683" s="91"/>
      <c r="H683" s="91"/>
      <c r="I683" s="91"/>
      <c r="J683" s="91"/>
      <c r="K683" s="160"/>
      <c r="L683" s="160"/>
      <c r="M683" s="160"/>
      <c r="N683" s="160"/>
      <c r="O683" s="160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  <c r="AC683" s="91"/>
      <c r="AD683" s="91"/>
      <c r="AE683" s="91"/>
      <c r="AF683" s="91"/>
      <c r="AG683" s="91"/>
      <c r="AH683" s="91"/>
      <c r="AI683" s="91"/>
      <c r="AJ683" s="91"/>
      <c r="AK683" s="91"/>
      <c r="AL683" s="91"/>
      <c r="AM683" s="91"/>
      <c r="AN683" s="91"/>
    </row>
    <row r="684">
      <c r="A684" s="164"/>
      <c r="B684" s="165"/>
      <c r="C684" s="165"/>
      <c r="D684" s="164"/>
      <c r="E684" s="164"/>
      <c r="F684" s="164"/>
      <c r="G684" s="91"/>
      <c r="H684" s="91"/>
      <c r="I684" s="91"/>
      <c r="J684" s="91"/>
      <c r="K684" s="160"/>
      <c r="L684" s="160"/>
      <c r="M684" s="160"/>
      <c r="N684" s="160"/>
      <c r="O684" s="160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  <c r="AC684" s="91"/>
      <c r="AD684" s="91"/>
      <c r="AE684" s="91"/>
      <c r="AF684" s="91"/>
      <c r="AG684" s="91"/>
      <c r="AH684" s="91"/>
      <c r="AI684" s="91"/>
      <c r="AJ684" s="91"/>
      <c r="AK684" s="91"/>
      <c r="AL684" s="91"/>
      <c r="AM684" s="91"/>
      <c r="AN684" s="91"/>
    </row>
    <row r="685">
      <c r="A685" s="164"/>
      <c r="B685" s="165"/>
      <c r="C685" s="165"/>
      <c r="D685" s="164"/>
      <c r="E685" s="164"/>
      <c r="F685" s="164"/>
      <c r="G685" s="91"/>
      <c r="H685" s="91"/>
      <c r="I685" s="91"/>
      <c r="J685" s="91"/>
      <c r="K685" s="160"/>
      <c r="L685" s="160"/>
      <c r="M685" s="160"/>
      <c r="N685" s="160"/>
      <c r="O685" s="160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  <c r="AC685" s="91"/>
      <c r="AD685" s="91"/>
      <c r="AE685" s="91"/>
      <c r="AF685" s="91"/>
      <c r="AG685" s="91"/>
      <c r="AH685" s="91"/>
      <c r="AI685" s="91"/>
      <c r="AJ685" s="91"/>
      <c r="AK685" s="91"/>
      <c r="AL685" s="91"/>
      <c r="AM685" s="91"/>
      <c r="AN685" s="91"/>
    </row>
    <row r="686">
      <c r="A686" s="164"/>
      <c r="B686" s="165"/>
      <c r="C686" s="165"/>
      <c r="D686" s="164"/>
      <c r="E686" s="164"/>
      <c r="F686" s="164"/>
      <c r="G686" s="91"/>
      <c r="H686" s="91"/>
      <c r="I686" s="91"/>
      <c r="J686" s="91"/>
      <c r="K686" s="160"/>
      <c r="L686" s="160"/>
      <c r="M686" s="160"/>
      <c r="N686" s="160"/>
      <c r="O686" s="160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  <c r="AC686" s="91"/>
      <c r="AD686" s="91"/>
      <c r="AE686" s="91"/>
      <c r="AF686" s="91"/>
      <c r="AG686" s="91"/>
      <c r="AH686" s="91"/>
      <c r="AI686" s="91"/>
      <c r="AJ686" s="91"/>
      <c r="AK686" s="91"/>
      <c r="AL686" s="91"/>
      <c r="AM686" s="91"/>
      <c r="AN686" s="91"/>
    </row>
    <row r="687">
      <c r="A687" s="164"/>
      <c r="B687" s="165"/>
      <c r="C687" s="165"/>
      <c r="D687" s="164"/>
      <c r="E687" s="164"/>
      <c r="F687" s="164"/>
      <c r="G687" s="91"/>
      <c r="H687" s="91"/>
      <c r="I687" s="91"/>
      <c r="J687" s="91"/>
      <c r="K687" s="160"/>
      <c r="L687" s="160"/>
      <c r="M687" s="160"/>
      <c r="N687" s="160"/>
      <c r="O687" s="160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  <c r="AC687" s="91"/>
      <c r="AD687" s="91"/>
      <c r="AE687" s="91"/>
      <c r="AF687" s="91"/>
      <c r="AG687" s="91"/>
      <c r="AH687" s="91"/>
      <c r="AI687" s="91"/>
      <c r="AJ687" s="91"/>
      <c r="AK687" s="91"/>
      <c r="AL687" s="91"/>
      <c r="AM687" s="91"/>
      <c r="AN687" s="91"/>
    </row>
    <row r="688">
      <c r="A688" s="164"/>
      <c r="B688" s="165"/>
      <c r="C688" s="165"/>
      <c r="D688" s="164"/>
      <c r="E688" s="164"/>
      <c r="F688" s="164"/>
      <c r="G688" s="91"/>
      <c r="H688" s="91"/>
      <c r="I688" s="91"/>
      <c r="J688" s="91"/>
      <c r="K688" s="160"/>
      <c r="L688" s="160"/>
      <c r="M688" s="160"/>
      <c r="N688" s="160"/>
      <c r="O688" s="160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  <c r="AC688" s="91"/>
      <c r="AD688" s="91"/>
      <c r="AE688" s="91"/>
      <c r="AF688" s="91"/>
      <c r="AG688" s="91"/>
      <c r="AH688" s="91"/>
      <c r="AI688" s="91"/>
      <c r="AJ688" s="91"/>
      <c r="AK688" s="91"/>
      <c r="AL688" s="91"/>
      <c r="AM688" s="91"/>
      <c r="AN688" s="91"/>
    </row>
    <row r="689">
      <c r="A689" s="164"/>
      <c r="B689" s="165"/>
      <c r="C689" s="165"/>
      <c r="D689" s="164"/>
      <c r="E689" s="164"/>
      <c r="F689" s="164"/>
      <c r="G689" s="91"/>
      <c r="H689" s="91"/>
      <c r="I689" s="91"/>
      <c r="J689" s="91"/>
      <c r="K689" s="160"/>
      <c r="L689" s="160"/>
      <c r="M689" s="160"/>
      <c r="N689" s="160"/>
      <c r="O689" s="160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  <c r="AC689" s="91"/>
      <c r="AD689" s="91"/>
      <c r="AE689" s="91"/>
      <c r="AF689" s="91"/>
      <c r="AG689" s="91"/>
      <c r="AH689" s="91"/>
      <c r="AI689" s="91"/>
      <c r="AJ689" s="91"/>
      <c r="AK689" s="91"/>
      <c r="AL689" s="91"/>
      <c r="AM689" s="91"/>
      <c r="AN689" s="91"/>
    </row>
    <row r="690">
      <c r="A690" s="164"/>
      <c r="B690" s="165"/>
      <c r="C690" s="165"/>
      <c r="D690" s="164"/>
      <c r="E690" s="164"/>
      <c r="F690" s="164"/>
      <c r="G690" s="91"/>
      <c r="H690" s="91"/>
      <c r="I690" s="91"/>
      <c r="J690" s="91"/>
      <c r="K690" s="160"/>
      <c r="L690" s="160"/>
      <c r="M690" s="160"/>
      <c r="N690" s="160"/>
      <c r="O690" s="160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  <c r="AC690" s="91"/>
      <c r="AD690" s="91"/>
      <c r="AE690" s="91"/>
      <c r="AF690" s="91"/>
      <c r="AG690" s="91"/>
      <c r="AH690" s="91"/>
      <c r="AI690" s="91"/>
      <c r="AJ690" s="91"/>
      <c r="AK690" s="91"/>
      <c r="AL690" s="91"/>
      <c r="AM690" s="91"/>
      <c r="AN690" s="91"/>
    </row>
    <row r="691">
      <c r="A691" s="164"/>
      <c r="B691" s="165"/>
      <c r="C691" s="165"/>
      <c r="D691" s="164"/>
      <c r="E691" s="164"/>
      <c r="F691" s="164"/>
      <c r="G691" s="91"/>
      <c r="H691" s="91"/>
      <c r="I691" s="91"/>
      <c r="J691" s="91"/>
      <c r="K691" s="160"/>
      <c r="L691" s="160"/>
      <c r="M691" s="160"/>
      <c r="N691" s="160"/>
      <c r="O691" s="160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  <c r="AC691" s="91"/>
      <c r="AD691" s="91"/>
      <c r="AE691" s="91"/>
      <c r="AF691" s="91"/>
      <c r="AG691" s="91"/>
      <c r="AH691" s="91"/>
      <c r="AI691" s="91"/>
      <c r="AJ691" s="91"/>
      <c r="AK691" s="91"/>
      <c r="AL691" s="91"/>
      <c r="AM691" s="91"/>
      <c r="AN691" s="91"/>
    </row>
    <row r="692">
      <c r="A692" s="164"/>
      <c r="B692" s="165"/>
      <c r="C692" s="165"/>
      <c r="D692" s="164"/>
      <c r="E692" s="164"/>
      <c r="F692" s="164"/>
      <c r="G692" s="91"/>
      <c r="H692" s="91"/>
      <c r="I692" s="91"/>
      <c r="J692" s="91"/>
      <c r="K692" s="160"/>
      <c r="L692" s="160"/>
      <c r="M692" s="160"/>
      <c r="N692" s="160"/>
      <c r="O692" s="160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  <c r="AC692" s="91"/>
      <c r="AD692" s="91"/>
      <c r="AE692" s="91"/>
      <c r="AF692" s="91"/>
      <c r="AG692" s="91"/>
      <c r="AH692" s="91"/>
      <c r="AI692" s="91"/>
      <c r="AJ692" s="91"/>
      <c r="AK692" s="91"/>
      <c r="AL692" s="91"/>
      <c r="AM692" s="91"/>
      <c r="AN692" s="91"/>
    </row>
    <row r="693">
      <c r="A693" s="164"/>
      <c r="B693" s="165"/>
      <c r="C693" s="165"/>
      <c r="D693" s="164"/>
      <c r="E693" s="164"/>
      <c r="F693" s="164"/>
      <c r="G693" s="91"/>
      <c r="H693" s="91"/>
      <c r="I693" s="91"/>
      <c r="J693" s="91"/>
      <c r="K693" s="160"/>
      <c r="L693" s="160"/>
      <c r="M693" s="160"/>
      <c r="N693" s="160"/>
      <c r="O693" s="160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  <c r="AC693" s="91"/>
      <c r="AD693" s="91"/>
      <c r="AE693" s="91"/>
      <c r="AF693" s="91"/>
      <c r="AG693" s="91"/>
      <c r="AH693" s="91"/>
      <c r="AI693" s="91"/>
      <c r="AJ693" s="91"/>
      <c r="AK693" s="91"/>
      <c r="AL693" s="91"/>
      <c r="AM693" s="91"/>
      <c r="AN693" s="91"/>
    </row>
    <row r="694">
      <c r="A694" s="164"/>
      <c r="B694" s="165"/>
      <c r="C694" s="165"/>
      <c r="D694" s="164"/>
      <c r="E694" s="164"/>
      <c r="F694" s="164"/>
      <c r="G694" s="91"/>
      <c r="H694" s="91"/>
      <c r="I694" s="91"/>
      <c r="J694" s="91"/>
      <c r="K694" s="160"/>
      <c r="L694" s="160"/>
      <c r="M694" s="160"/>
      <c r="N694" s="160"/>
      <c r="O694" s="160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  <c r="AC694" s="91"/>
      <c r="AD694" s="91"/>
      <c r="AE694" s="91"/>
      <c r="AF694" s="91"/>
      <c r="AG694" s="91"/>
      <c r="AH694" s="91"/>
      <c r="AI694" s="91"/>
      <c r="AJ694" s="91"/>
      <c r="AK694" s="91"/>
      <c r="AL694" s="91"/>
      <c r="AM694" s="91"/>
      <c r="AN694" s="91"/>
    </row>
    <row r="695">
      <c r="A695" s="164"/>
      <c r="B695" s="165"/>
      <c r="C695" s="165"/>
      <c r="D695" s="164"/>
      <c r="E695" s="164"/>
      <c r="F695" s="164"/>
      <c r="G695" s="91"/>
      <c r="H695" s="91"/>
      <c r="I695" s="91"/>
      <c r="J695" s="91"/>
      <c r="K695" s="160"/>
      <c r="L695" s="160"/>
      <c r="M695" s="160"/>
      <c r="N695" s="160"/>
      <c r="O695" s="160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  <c r="AC695" s="91"/>
      <c r="AD695" s="91"/>
      <c r="AE695" s="91"/>
      <c r="AF695" s="91"/>
      <c r="AG695" s="91"/>
      <c r="AH695" s="91"/>
      <c r="AI695" s="91"/>
      <c r="AJ695" s="91"/>
      <c r="AK695" s="91"/>
      <c r="AL695" s="91"/>
      <c r="AM695" s="91"/>
      <c r="AN695" s="91"/>
    </row>
    <row r="696">
      <c r="A696" s="164"/>
      <c r="B696" s="165"/>
      <c r="C696" s="165"/>
      <c r="D696" s="164"/>
      <c r="E696" s="164"/>
      <c r="F696" s="164"/>
      <c r="G696" s="91"/>
      <c r="H696" s="91"/>
      <c r="I696" s="91"/>
      <c r="J696" s="91"/>
      <c r="K696" s="160"/>
      <c r="L696" s="160"/>
      <c r="M696" s="160"/>
      <c r="N696" s="160"/>
      <c r="O696" s="160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  <c r="AC696" s="91"/>
      <c r="AD696" s="91"/>
      <c r="AE696" s="91"/>
      <c r="AF696" s="91"/>
      <c r="AG696" s="91"/>
      <c r="AH696" s="91"/>
      <c r="AI696" s="91"/>
      <c r="AJ696" s="91"/>
      <c r="AK696" s="91"/>
      <c r="AL696" s="91"/>
      <c r="AM696" s="91"/>
      <c r="AN696" s="91"/>
    </row>
    <row r="697">
      <c r="A697" s="164"/>
      <c r="B697" s="165"/>
      <c r="C697" s="165"/>
      <c r="D697" s="164"/>
      <c r="E697" s="164"/>
      <c r="F697" s="164"/>
      <c r="G697" s="91"/>
      <c r="H697" s="91"/>
      <c r="I697" s="91"/>
      <c r="J697" s="91"/>
      <c r="K697" s="160"/>
      <c r="L697" s="160"/>
      <c r="M697" s="160"/>
      <c r="N697" s="160"/>
      <c r="O697" s="160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  <c r="AC697" s="91"/>
      <c r="AD697" s="91"/>
      <c r="AE697" s="91"/>
      <c r="AF697" s="91"/>
      <c r="AG697" s="91"/>
      <c r="AH697" s="91"/>
      <c r="AI697" s="91"/>
      <c r="AJ697" s="91"/>
      <c r="AK697" s="91"/>
      <c r="AL697" s="91"/>
      <c r="AM697" s="91"/>
      <c r="AN697" s="91"/>
    </row>
    <row r="698">
      <c r="A698" s="164"/>
      <c r="B698" s="165"/>
      <c r="C698" s="165"/>
      <c r="D698" s="164"/>
      <c r="E698" s="164"/>
      <c r="F698" s="164"/>
      <c r="G698" s="91"/>
      <c r="H698" s="91"/>
      <c r="I698" s="91"/>
      <c r="J698" s="91"/>
      <c r="K698" s="160"/>
      <c r="L698" s="160"/>
      <c r="M698" s="160"/>
      <c r="N698" s="160"/>
      <c r="O698" s="160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  <c r="AC698" s="91"/>
      <c r="AD698" s="91"/>
      <c r="AE698" s="91"/>
      <c r="AF698" s="91"/>
      <c r="AG698" s="91"/>
      <c r="AH698" s="91"/>
      <c r="AI698" s="91"/>
      <c r="AJ698" s="91"/>
      <c r="AK698" s="91"/>
      <c r="AL698" s="91"/>
      <c r="AM698" s="91"/>
      <c r="AN698" s="91"/>
    </row>
    <row r="699">
      <c r="A699" s="164"/>
      <c r="B699" s="165"/>
      <c r="C699" s="165"/>
      <c r="D699" s="164"/>
      <c r="E699" s="164"/>
      <c r="F699" s="164"/>
      <c r="G699" s="91"/>
      <c r="H699" s="91"/>
      <c r="I699" s="91"/>
      <c r="J699" s="91"/>
      <c r="K699" s="160"/>
      <c r="L699" s="160"/>
      <c r="M699" s="160"/>
      <c r="N699" s="160"/>
      <c r="O699" s="160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  <c r="AC699" s="91"/>
      <c r="AD699" s="91"/>
      <c r="AE699" s="91"/>
      <c r="AF699" s="91"/>
      <c r="AG699" s="91"/>
      <c r="AH699" s="91"/>
      <c r="AI699" s="91"/>
      <c r="AJ699" s="91"/>
      <c r="AK699" s="91"/>
      <c r="AL699" s="91"/>
      <c r="AM699" s="91"/>
      <c r="AN699" s="91"/>
    </row>
    <row r="700">
      <c r="A700" s="164"/>
      <c r="B700" s="165"/>
      <c r="C700" s="165"/>
      <c r="D700" s="164"/>
      <c r="E700" s="164"/>
      <c r="F700" s="164"/>
      <c r="G700" s="91"/>
      <c r="H700" s="91"/>
      <c r="I700" s="91"/>
      <c r="J700" s="91"/>
      <c r="K700" s="160"/>
      <c r="L700" s="160"/>
      <c r="M700" s="160"/>
      <c r="N700" s="160"/>
      <c r="O700" s="160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  <c r="AC700" s="91"/>
      <c r="AD700" s="91"/>
      <c r="AE700" s="91"/>
      <c r="AF700" s="91"/>
      <c r="AG700" s="91"/>
      <c r="AH700" s="91"/>
      <c r="AI700" s="91"/>
      <c r="AJ700" s="91"/>
      <c r="AK700" s="91"/>
      <c r="AL700" s="91"/>
      <c r="AM700" s="91"/>
      <c r="AN700" s="91"/>
    </row>
    <row r="701">
      <c r="A701" s="164"/>
      <c r="B701" s="165"/>
      <c r="C701" s="165"/>
      <c r="D701" s="164"/>
      <c r="E701" s="164"/>
      <c r="F701" s="164"/>
      <c r="G701" s="91"/>
      <c r="H701" s="91"/>
      <c r="I701" s="91"/>
      <c r="J701" s="91"/>
      <c r="K701" s="160"/>
      <c r="L701" s="160"/>
      <c r="M701" s="160"/>
      <c r="N701" s="160"/>
      <c r="O701" s="160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  <c r="AC701" s="91"/>
      <c r="AD701" s="91"/>
      <c r="AE701" s="91"/>
      <c r="AF701" s="91"/>
      <c r="AG701" s="91"/>
      <c r="AH701" s="91"/>
      <c r="AI701" s="91"/>
      <c r="AJ701" s="91"/>
      <c r="AK701" s="91"/>
      <c r="AL701" s="91"/>
      <c r="AM701" s="91"/>
      <c r="AN701" s="91"/>
    </row>
    <row r="702">
      <c r="A702" s="164"/>
      <c r="B702" s="165"/>
      <c r="C702" s="165"/>
      <c r="D702" s="164"/>
      <c r="E702" s="164"/>
      <c r="F702" s="164"/>
      <c r="G702" s="91"/>
      <c r="H702" s="91"/>
      <c r="I702" s="91"/>
      <c r="J702" s="91"/>
      <c r="K702" s="160"/>
      <c r="L702" s="160"/>
      <c r="M702" s="160"/>
      <c r="N702" s="160"/>
      <c r="O702" s="160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  <c r="AC702" s="91"/>
      <c r="AD702" s="91"/>
      <c r="AE702" s="91"/>
      <c r="AF702" s="91"/>
      <c r="AG702" s="91"/>
      <c r="AH702" s="91"/>
      <c r="AI702" s="91"/>
      <c r="AJ702" s="91"/>
      <c r="AK702" s="91"/>
      <c r="AL702" s="91"/>
      <c r="AM702" s="91"/>
      <c r="AN702" s="91"/>
    </row>
    <row r="703">
      <c r="A703" s="164"/>
      <c r="B703" s="165"/>
      <c r="C703" s="165"/>
      <c r="D703" s="164"/>
      <c r="E703" s="164"/>
      <c r="F703" s="164"/>
      <c r="G703" s="91"/>
      <c r="H703" s="91"/>
      <c r="I703" s="91"/>
      <c r="J703" s="91"/>
      <c r="K703" s="160"/>
      <c r="L703" s="160"/>
      <c r="M703" s="160"/>
      <c r="N703" s="160"/>
      <c r="O703" s="160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  <c r="AC703" s="91"/>
      <c r="AD703" s="91"/>
      <c r="AE703" s="91"/>
      <c r="AF703" s="91"/>
      <c r="AG703" s="91"/>
      <c r="AH703" s="91"/>
      <c r="AI703" s="91"/>
      <c r="AJ703" s="91"/>
      <c r="AK703" s="91"/>
      <c r="AL703" s="91"/>
      <c r="AM703" s="91"/>
      <c r="AN703" s="91"/>
    </row>
    <row r="704">
      <c r="A704" s="164"/>
      <c r="B704" s="165"/>
      <c r="C704" s="165"/>
      <c r="D704" s="164"/>
      <c r="E704" s="164"/>
      <c r="F704" s="164"/>
      <c r="G704" s="91"/>
      <c r="H704" s="91"/>
      <c r="I704" s="91"/>
      <c r="J704" s="91"/>
      <c r="K704" s="160"/>
      <c r="L704" s="160"/>
      <c r="M704" s="160"/>
      <c r="N704" s="160"/>
      <c r="O704" s="160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  <c r="AC704" s="91"/>
      <c r="AD704" s="91"/>
      <c r="AE704" s="91"/>
      <c r="AF704" s="91"/>
      <c r="AG704" s="91"/>
      <c r="AH704" s="91"/>
      <c r="AI704" s="91"/>
      <c r="AJ704" s="91"/>
      <c r="AK704" s="91"/>
      <c r="AL704" s="91"/>
      <c r="AM704" s="91"/>
      <c r="AN704" s="91"/>
    </row>
    <row r="705">
      <c r="A705" s="164"/>
      <c r="B705" s="165"/>
      <c r="C705" s="165"/>
      <c r="D705" s="164"/>
      <c r="E705" s="164"/>
      <c r="F705" s="164"/>
      <c r="G705" s="91"/>
      <c r="H705" s="91"/>
      <c r="I705" s="91"/>
      <c r="J705" s="91"/>
      <c r="K705" s="160"/>
      <c r="L705" s="160"/>
      <c r="M705" s="160"/>
      <c r="N705" s="160"/>
      <c r="O705" s="160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  <c r="AC705" s="91"/>
      <c r="AD705" s="91"/>
      <c r="AE705" s="91"/>
      <c r="AF705" s="91"/>
      <c r="AG705" s="91"/>
      <c r="AH705" s="91"/>
      <c r="AI705" s="91"/>
      <c r="AJ705" s="91"/>
      <c r="AK705" s="91"/>
      <c r="AL705" s="91"/>
      <c r="AM705" s="91"/>
      <c r="AN705" s="91"/>
    </row>
    <row r="706">
      <c r="A706" s="164"/>
      <c r="B706" s="165"/>
      <c r="C706" s="165"/>
      <c r="D706" s="164"/>
      <c r="E706" s="164"/>
      <c r="F706" s="164"/>
      <c r="G706" s="91"/>
      <c r="H706" s="91"/>
      <c r="I706" s="91"/>
      <c r="J706" s="91"/>
      <c r="K706" s="160"/>
      <c r="L706" s="160"/>
      <c r="M706" s="160"/>
      <c r="N706" s="160"/>
      <c r="O706" s="160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  <c r="AC706" s="91"/>
      <c r="AD706" s="91"/>
      <c r="AE706" s="91"/>
      <c r="AF706" s="91"/>
      <c r="AG706" s="91"/>
      <c r="AH706" s="91"/>
      <c r="AI706" s="91"/>
      <c r="AJ706" s="91"/>
      <c r="AK706" s="91"/>
      <c r="AL706" s="91"/>
      <c r="AM706" s="91"/>
      <c r="AN706" s="91"/>
    </row>
    <row r="707">
      <c r="A707" s="164"/>
      <c r="B707" s="165"/>
      <c r="C707" s="165"/>
      <c r="D707" s="164"/>
      <c r="E707" s="164"/>
      <c r="F707" s="164"/>
      <c r="G707" s="91"/>
      <c r="H707" s="91"/>
      <c r="I707" s="91"/>
      <c r="J707" s="91"/>
      <c r="K707" s="160"/>
      <c r="L707" s="160"/>
      <c r="M707" s="160"/>
      <c r="N707" s="160"/>
      <c r="O707" s="160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  <c r="AC707" s="91"/>
      <c r="AD707" s="91"/>
      <c r="AE707" s="91"/>
      <c r="AF707" s="91"/>
      <c r="AG707" s="91"/>
      <c r="AH707" s="91"/>
      <c r="AI707" s="91"/>
      <c r="AJ707" s="91"/>
      <c r="AK707" s="91"/>
      <c r="AL707" s="91"/>
      <c r="AM707" s="91"/>
      <c r="AN707" s="91"/>
    </row>
    <row r="708">
      <c r="A708" s="164"/>
      <c r="B708" s="165"/>
      <c r="C708" s="165"/>
      <c r="D708" s="164"/>
      <c r="E708" s="164"/>
      <c r="F708" s="164"/>
      <c r="G708" s="91"/>
      <c r="H708" s="91"/>
      <c r="I708" s="91"/>
      <c r="J708" s="91"/>
      <c r="K708" s="160"/>
      <c r="L708" s="160"/>
      <c r="M708" s="160"/>
      <c r="N708" s="160"/>
      <c r="O708" s="160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  <c r="AC708" s="91"/>
      <c r="AD708" s="91"/>
      <c r="AE708" s="91"/>
      <c r="AF708" s="91"/>
      <c r="AG708" s="91"/>
      <c r="AH708" s="91"/>
      <c r="AI708" s="91"/>
      <c r="AJ708" s="91"/>
      <c r="AK708" s="91"/>
      <c r="AL708" s="91"/>
      <c r="AM708" s="91"/>
      <c r="AN708" s="91"/>
    </row>
    <row r="709">
      <c r="A709" s="164"/>
      <c r="B709" s="165"/>
      <c r="C709" s="165"/>
      <c r="D709" s="164"/>
      <c r="E709" s="164"/>
      <c r="F709" s="164"/>
      <c r="G709" s="91"/>
      <c r="H709" s="91"/>
      <c r="I709" s="91"/>
      <c r="J709" s="91"/>
      <c r="K709" s="160"/>
      <c r="L709" s="160"/>
      <c r="M709" s="160"/>
      <c r="N709" s="160"/>
      <c r="O709" s="160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  <c r="AC709" s="91"/>
      <c r="AD709" s="91"/>
      <c r="AE709" s="91"/>
      <c r="AF709" s="91"/>
      <c r="AG709" s="91"/>
      <c r="AH709" s="91"/>
      <c r="AI709" s="91"/>
      <c r="AJ709" s="91"/>
      <c r="AK709" s="91"/>
      <c r="AL709" s="91"/>
      <c r="AM709" s="91"/>
      <c r="AN709" s="91"/>
    </row>
    <row r="710">
      <c r="A710" s="164"/>
      <c r="B710" s="165"/>
      <c r="C710" s="165"/>
      <c r="D710" s="164"/>
      <c r="E710" s="164"/>
      <c r="F710" s="164"/>
      <c r="G710" s="91"/>
      <c r="H710" s="91"/>
      <c r="I710" s="91"/>
      <c r="J710" s="91"/>
      <c r="K710" s="160"/>
      <c r="L710" s="160"/>
      <c r="M710" s="160"/>
      <c r="N710" s="160"/>
      <c r="O710" s="160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  <c r="AC710" s="91"/>
      <c r="AD710" s="91"/>
      <c r="AE710" s="91"/>
      <c r="AF710" s="91"/>
      <c r="AG710" s="91"/>
      <c r="AH710" s="91"/>
      <c r="AI710" s="91"/>
      <c r="AJ710" s="91"/>
      <c r="AK710" s="91"/>
      <c r="AL710" s="91"/>
      <c r="AM710" s="91"/>
      <c r="AN710" s="91"/>
    </row>
    <row r="711">
      <c r="A711" s="164"/>
      <c r="B711" s="165"/>
      <c r="C711" s="165"/>
      <c r="D711" s="164"/>
      <c r="E711" s="164"/>
      <c r="F711" s="164"/>
      <c r="G711" s="91"/>
      <c r="H711" s="91"/>
      <c r="I711" s="91"/>
      <c r="J711" s="91"/>
      <c r="K711" s="160"/>
      <c r="L711" s="160"/>
      <c r="M711" s="160"/>
      <c r="N711" s="160"/>
      <c r="O711" s="160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  <c r="AC711" s="91"/>
      <c r="AD711" s="91"/>
      <c r="AE711" s="91"/>
      <c r="AF711" s="91"/>
      <c r="AG711" s="91"/>
      <c r="AH711" s="91"/>
      <c r="AI711" s="91"/>
      <c r="AJ711" s="91"/>
      <c r="AK711" s="91"/>
      <c r="AL711" s="91"/>
      <c r="AM711" s="91"/>
      <c r="AN711" s="91"/>
    </row>
    <row r="712">
      <c r="A712" s="164"/>
      <c r="B712" s="165"/>
      <c r="C712" s="165"/>
      <c r="D712" s="164"/>
      <c r="E712" s="164"/>
      <c r="F712" s="164"/>
      <c r="G712" s="91"/>
      <c r="H712" s="91"/>
      <c r="I712" s="91"/>
      <c r="J712" s="91"/>
      <c r="K712" s="160"/>
      <c r="L712" s="160"/>
      <c r="M712" s="160"/>
      <c r="N712" s="160"/>
      <c r="O712" s="160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  <c r="AC712" s="91"/>
      <c r="AD712" s="91"/>
      <c r="AE712" s="91"/>
      <c r="AF712" s="91"/>
      <c r="AG712" s="91"/>
      <c r="AH712" s="91"/>
      <c r="AI712" s="91"/>
      <c r="AJ712" s="91"/>
      <c r="AK712" s="91"/>
      <c r="AL712" s="91"/>
      <c r="AM712" s="91"/>
      <c r="AN712" s="91"/>
    </row>
    <row r="713">
      <c r="A713" s="164"/>
      <c r="B713" s="165"/>
      <c r="C713" s="165"/>
      <c r="D713" s="164"/>
      <c r="E713" s="164"/>
      <c r="F713" s="164"/>
      <c r="G713" s="91"/>
      <c r="H713" s="91"/>
      <c r="I713" s="91"/>
      <c r="J713" s="91"/>
      <c r="K713" s="160"/>
      <c r="L713" s="160"/>
      <c r="M713" s="160"/>
      <c r="N713" s="160"/>
      <c r="O713" s="160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  <c r="AC713" s="91"/>
      <c r="AD713" s="91"/>
      <c r="AE713" s="91"/>
      <c r="AF713" s="91"/>
      <c r="AG713" s="91"/>
      <c r="AH713" s="91"/>
      <c r="AI713" s="91"/>
      <c r="AJ713" s="91"/>
      <c r="AK713" s="91"/>
      <c r="AL713" s="91"/>
      <c r="AM713" s="91"/>
      <c r="AN713" s="91"/>
    </row>
    <row r="714">
      <c r="A714" s="164"/>
      <c r="B714" s="165"/>
      <c r="C714" s="165"/>
      <c r="D714" s="164"/>
      <c r="E714" s="164"/>
      <c r="F714" s="164"/>
      <c r="G714" s="91"/>
      <c r="H714" s="91"/>
      <c r="I714" s="91"/>
      <c r="J714" s="91"/>
      <c r="K714" s="160"/>
      <c r="L714" s="160"/>
      <c r="M714" s="160"/>
      <c r="N714" s="160"/>
      <c r="O714" s="160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  <c r="AC714" s="91"/>
      <c r="AD714" s="91"/>
      <c r="AE714" s="91"/>
      <c r="AF714" s="91"/>
      <c r="AG714" s="91"/>
      <c r="AH714" s="91"/>
      <c r="AI714" s="91"/>
      <c r="AJ714" s="91"/>
      <c r="AK714" s="91"/>
      <c r="AL714" s="91"/>
      <c r="AM714" s="91"/>
      <c r="AN714" s="91"/>
    </row>
    <row r="715">
      <c r="A715" s="164"/>
      <c r="B715" s="165"/>
      <c r="C715" s="165"/>
      <c r="D715" s="164"/>
      <c r="E715" s="164"/>
      <c r="F715" s="164"/>
      <c r="G715" s="91"/>
      <c r="H715" s="91"/>
      <c r="I715" s="91"/>
      <c r="J715" s="91"/>
      <c r="K715" s="160"/>
      <c r="L715" s="160"/>
      <c r="M715" s="160"/>
      <c r="N715" s="160"/>
      <c r="O715" s="160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  <c r="AC715" s="91"/>
      <c r="AD715" s="91"/>
      <c r="AE715" s="91"/>
      <c r="AF715" s="91"/>
      <c r="AG715" s="91"/>
      <c r="AH715" s="91"/>
      <c r="AI715" s="91"/>
      <c r="AJ715" s="91"/>
      <c r="AK715" s="91"/>
      <c r="AL715" s="91"/>
      <c r="AM715" s="91"/>
      <c r="AN715" s="91"/>
    </row>
    <row r="716">
      <c r="A716" s="164"/>
      <c r="B716" s="165"/>
      <c r="C716" s="165"/>
      <c r="D716" s="164"/>
      <c r="E716" s="164"/>
      <c r="F716" s="164"/>
      <c r="G716" s="91"/>
      <c r="H716" s="91"/>
      <c r="I716" s="91"/>
      <c r="J716" s="91"/>
      <c r="K716" s="160"/>
      <c r="L716" s="160"/>
      <c r="M716" s="160"/>
      <c r="N716" s="160"/>
      <c r="O716" s="160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  <c r="AC716" s="91"/>
      <c r="AD716" s="91"/>
      <c r="AE716" s="91"/>
      <c r="AF716" s="91"/>
      <c r="AG716" s="91"/>
      <c r="AH716" s="91"/>
      <c r="AI716" s="91"/>
      <c r="AJ716" s="91"/>
      <c r="AK716" s="91"/>
      <c r="AL716" s="91"/>
      <c r="AM716" s="91"/>
      <c r="AN716" s="91"/>
    </row>
    <row r="717">
      <c r="A717" s="164"/>
      <c r="B717" s="165"/>
      <c r="C717" s="165"/>
      <c r="D717" s="164"/>
      <c r="E717" s="164"/>
      <c r="F717" s="164"/>
      <c r="G717" s="91"/>
      <c r="H717" s="91"/>
      <c r="I717" s="91"/>
      <c r="J717" s="91"/>
      <c r="K717" s="160"/>
      <c r="L717" s="160"/>
      <c r="M717" s="160"/>
      <c r="N717" s="160"/>
      <c r="O717" s="160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  <c r="AC717" s="91"/>
      <c r="AD717" s="91"/>
      <c r="AE717" s="91"/>
      <c r="AF717" s="91"/>
      <c r="AG717" s="91"/>
      <c r="AH717" s="91"/>
      <c r="AI717" s="91"/>
      <c r="AJ717" s="91"/>
      <c r="AK717" s="91"/>
      <c r="AL717" s="91"/>
      <c r="AM717" s="91"/>
      <c r="AN717" s="91"/>
    </row>
    <row r="718">
      <c r="A718" s="164"/>
      <c r="B718" s="165"/>
      <c r="C718" s="165"/>
      <c r="D718" s="164"/>
      <c r="E718" s="164"/>
      <c r="F718" s="164"/>
      <c r="G718" s="91"/>
      <c r="H718" s="91"/>
      <c r="I718" s="91"/>
      <c r="J718" s="91"/>
      <c r="K718" s="160"/>
      <c r="L718" s="160"/>
      <c r="M718" s="160"/>
      <c r="N718" s="160"/>
      <c r="O718" s="160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  <c r="AC718" s="91"/>
      <c r="AD718" s="91"/>
      <c r="AE718" s="91"/>
      <c r="AF718" s="91"/>
      <c r="AG718" s="91"/>
      <c r="AH718" s="91"/>
      <c r="AI718" s="91"/>
      <c r="AJ718" s="91"/>
      <c r="AK718" s="91"/>
      <c r="AL718" s="91"/>
      <c r="AM718" s="91"/>
      <c r="AN718" s="91"/>
    </row>
    <row r="719">
      <c r="A719" s="164"/>
      <c r="B719" s="165"/>
      <c r="C719" s="165"/>
      <c r="D719" s="164"/>
      <c r="E719" s="164"/>
      <c r="F719" s="164"/>
      <c r="G719" s="91"/>
      <c r="H719" s="91"/>
      <c r="I719" s="91"/>
      <c r="J719" s="91"/>
      <c r="K719" s="160"/>
      <c r="L719" s="160"/>
      <c r="M719" s="160"/>
      <c r="N719" s="160"/>
      <c r="O719" s="160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  <c r="AC719" s="91"/>
      <c r="AD719" s="91"/>
      <c r="AE719" s="91"/>
      <c r="AF719" s="91"/>
      <c r="AG719" s="91"/>
      <c r="AH719" s="91"/>
      <c r="AI719" s="91"/>
      <c r="AJ719" s="91"/>
      <c r="AK719" s="91"/>
      <c r="AL719" s="91"/>
      <c r="AM719" s="91"/>
      <c r="AN719" s="91"/>
    </row>
    <row r="720">
      <c r="A720" s="164"/>
      <c r="B720" s="165"/>
      <c r="C720" s="165"/>
      <c r="D720" s="164"/>
      <c r="E720" s="164"/>
      <c r="F720" s="164"/>
      <c r="G720" s="91"/>
      <c r="H720" s="91"/>
      <c r="I720" s="91"/>
      <c r="J720" s="91"/>
      <c r="K720" s="160"/>
      <c r="L720" s="160"/>
      <c r="M720" s="160"/>
      <c r="N720" s="160"/>
      <c r="O720" s="160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  <c r="AC720" s="91"/>
      <c r="AD720" s="91"/>
      <c r="AE720" s="91"/>
      <c r="AF720" s="91"/>
      <c r="AG720" s="91"/>
      <c r="AH720" s="91"/>
      <c r="AI720" s="91"/>
      <c r="AJ720" s="91"/>
      <c r="AK720" s="91"/>
      <c r="AL720" s="91"/>
      <c r="AM720" s="91"/>
      <c r="AN720" s="91"/>
    </row>
    <row r="721">
      <c r="A721" s="164"/>
      <c r="B721" s="165"/>
      <c r="C721" s="165"/>
      <c r="D721" s="164"/>
      <c r="E721" s="164"/>
      <c r="F721" s="164"/>
      <c r="G721" s="91"/>
      <c r="H721" s="91"/>
      <c r="I721" s="91"/>
      <c r="J721" s="91"/>
      <c r="K721" s="160"/>
      <c r="L721" s="160"/>
      <c r="M721" s="160"/>
      <c r="N721" s="160"/>
      <c r="O721" s="160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  <c r="AC721" s="91"/>
      <c r="AD721" s="91"/>
      <c r="AE721" s="91"/>
      <c r="AF721" s="91"/>
      <c r="AG721" s="91"/>
      <c r="AH721" s="91"/>
      <c r="AI721" s="91"/>
      <c r="AJ721" s="91"/>
      <c r="AK721" s="91"/>
      <c r="AL721" s="91"/>
      <c r="AM721" s="91"/>
      <c r="AN721" s="91"/>
    </row>
    <row r="722">
      <c r="A722" s="164"/>
      <c r="B722" s="165"/>
      <c r="C722" s="165"/>
      <c r="D722" s="164"/>
      <c r="E722" s="164"/>
      <c r="F722" s="164"/>
      <c r="G722" s="91"/>
      <c r="H722" s="91"/>
      <c r="I722" s="91"/>
      <c r="J722" s="91"/>
      <c r="K722" s="160"/>
      <c r="L722" s="160"/>
      <c r="M722" s="160"/>
      <c r="N722" s="160"/>
      <c r="O722" s="160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  <c r="AC722" s="91"/>
      <c r="AD722" s="91"/>
      <c r="AE722" s="91"/>
      <c r="AF722" s="91"/>
      <c r="AG722" s="91"/>
      <c r="AH722" s="91"/>
      <c r="AI722" s="91"/>
      <c r="AJ722" s="91"/>
      <c r="AK722" s="91"/>
      <c r="AL722" s="91"/>
      <c r="AM722" s="91"/>
      <c r="AN722" s="91"/>
    </row>
    <row r="723">
      <c r="A723" s="164"/>
      <c r="B723" s="165"/>
      <c r="C723" s="165"/>
      <c r="D723" s="164"/>
      <c r="E723" s="164"/>
      <c r="F723" s="164"/>
      <c r="G723" s="91"/>
      <c r="H723" s="91"/>
      <c r="I723" s="91"/>
      <c r="J723" s="91"/>
      <c r="K723" s="160"/>
      <c r="L723" s="160"/>
      <c r="M723" s="160"/>
      <c r="N723" s="160"/>
      <c r="O723" s="160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  <c r="AC723" s="91"/>
      <c r="AD723" s="91"/>
      <c r="AE723" s="91"/>
      <c r="AF723" s="91"/>
      <c r="AG723" s="91"/>
      <c r="AH723" s="91"/>
      <c r="AI723" s="91"/>
      <c r="AJ723" s="91"/>
      <c r="AK723" s="91"/>
      <c r="AL723" s="91"/>
      <c r="AM723" s="91"/>
      <c r="AN723" s="91"/>
    </row>
    <row r="724">
      <c r="A724" s="164"/>
      <c r="B724" s="165"/>
      <c r="C724" s="165"/>
      <c r="D724" s="164"/>
      <c r="E724" s="164"/>
      <c r="F724" s="164"/>
      <c r="G724" s="91"/>
      <c r="H724" s="91"/>
      <c r="I724" s="91"/>
      <c r="J724" s="91"/>
      <c r="K724" s="160"/>
      <c r="L724" s="160"/>
      <c r="M724" s="160"/>
      <c r="N724" s="160"/>
      <c r="O724" s="160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  <c r="AC724" s="91"/>
      <c r="AD724" s="91"/>
      <c r="AE724" s="91"/>
      <c r="AF724" s="91"/>
      <c r="AG724" s="91"/>
      <c r="AH724" s="91"/>
      <c r="AI724" s="91"/>
      <c r="AJ724" s="91"/>
      <c r="AK724" s="91"/>
      <c r="AL724" s="91"/>
      <c r="AM724" s="91"/>
      <c r="AN724" s="91"/>
    </row>
    <row r="725">
      <c r="A725" s="164"/>
      <c r="B725" s="165"/>
      <c r="C725" s="165"/>
      <c r="D725" s="164"/>
      <c r="E725" s="164"/>
      <c r="F725" s="164"/>
      <c r="G725" s="91"/>
      <c r="H725" s="91"/>
      <c r="I725" s="91"/>
      <c r="J725" s="91"/>
      <c r="K725" s="160"/>
      <c r="L725" s="160"/>
      <c r="M725" s="160"/>
      <c r="N725" s="160"/>
      <c r="O725" s="160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  <c r="AC725" s="91"/>
      <c r="AD725" s="91"/>
      <c r="AE725" s="91"/>
      <c r="AF725" s="91"/>
      <c r="AG725" s="91"/>
      <c r="AH725" s="91"/>
      <c r="AI725" s="91"/>
      <c r="AJ725" s="91"/>
      <c r="AK725" s="91"/>
      <c r="AL725" s="91"/>
      <c r="AM725" s="91"/>
      <c r="AN725" s="91"/>
    </row>
    <row r="726">
      <c r="A726" s="164"/>
      <c r="B726" s="165"/>
      <c r="C726" s="165"/>
      <c r="D726" s="164"/>
      <c r="E726" s="164"/>
      <c r="F726" s="164"/>
      <c r="G726" s="91"/>
      <c r="H726" s="91"/>
      <c r="I726" s="91"/>
      <c r="J726" s="91"/>
      <c r="K726" s="160"/>
      <c r="L726" s="160"/>
      <c r="M726" s="160"/>
      <c r="N726" s="160"/>
      <c r="O726" s="160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  <c r="AC726" s="91"/>
      <c r="AD726" s="91"/>
      <c r="AE726" s="91"/>
      <c r="AF726" s="91"/>
      <c r="AG726" s="91"/>
      <c r="AH726" s="91"/>
      <c r="AI726" s="91"/>
      <c r="AJ726" s="91"/>
      <c r="AK726" s="91"/>
      <c r="AL726" s="91"/>
      <c r="AM726" s="91"/>
      <c r="AN726" s="91"/>
    </row>
    <row r="727">
      <c r="A727" s="164"/>
      <c r="B727" s="165"/>
      <c r="C727" s="165"/>
      <c r="D727" s="164"/>
      <c r="E727" s="164"/>
      <c r="F727" s="164"/>
      <c r="G727" s="91"/>
      <c r="H727" s="91"/>
      <c r="I727" s="91"/>
      <c r="J727" s="91"/>
      <c r="K727" s="160"/>
      <c r="L727" s="160"/>
      <c r="M727" s="160"/>
      <c r="N727" s="160"/>
      <c r="O727" s="160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  <c r="AC727" s="91"/>
      <c r="AD727" s="91"/>
      <c r="AE727" s="91"/>
      <c r="AF727" s="91"/>
      <c r="AG727" s="91"/>
      <c r="AH727" s="91"/>
      <c r="AI727" s="91"/>
      <c r="AJ727" s="91"/>
      <c r="AK727" s="91"/>
      <c r="AL727" s="91"/>
      <c r="AM727" s="91"/>
      <c r="AN727" s="91"/>
    </row>
    <row r="728">
      <c r="A728" s="164"/>
      <c r="B728" s="165"/>
      <c r="C728" s="165"/>
      <c r="D728" s="164"/>
      <c r="E728" s="164"/>
      <c r="F728" s="164"/>
      <c r="G728" s="91"/>
      <c r="H728" s="91"/>
      <c r="I728" s="91"/>
      <c r="J728" s="91"/>
      <c r="K728" s="160"/>
      <c r="L728" s="160"/>
      <c r="M728" s="160"/>
      <c r="N728" s="160"/>
      <c r="O728" s="160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  <c r="AC728" s="91"/>
      <c r="AD728" s="91"/>
      <c r="AE728" s="91"/>
      <c r="AF728" s="91"/>
      <c r="AG728" s="91"/>
      <c r="AH728" s="91"/>
      <c r="AI728" s="91"/>
      <c r="AJ728" s="91"/>
      <c r="AK728" s="91"/>
      <c r="AL728" s="91"/>
      <c r="AM728" s="91"/>
      <c r="AN728" s="91"/>
    </row>
    <row r="729">
      <c r="A729" s="164"/>
      <c r="B729" s="165"/>
      <c r="C729" s="165"/>
      <c r="D729" s="164"/>
      <c r="E729" s="164"/>
      <c r="F729" s="164"/>
      <c r="G729" s="91"/>
      <c r="H729" s="91"/>
      <c r="I729" s="91"/>
      <c r="J729" s="91"/>
      <c r="K729" s="160"/>
      <c r="L729" s="160"/>
      <c r="M729" s="160"/>
      <c r="N729" s="160"/>
      <c r="O729" s="160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  <c r="AC729" s="91"/>
      <c r="AD729" s="91"/>
      <c r="AE729" s="91"/>
      <c r="AF729" s="91"/>
      <c r="AG729" s="91"/>
      <c r="AH729" s="91"/>
      <c r="AI729" s="91"/>
      <c r="AJ729" s="91"/>
      <c r="AK729" s="91"/>
      <c r="AL729" s="91"/>
      <c r="AM729" s="91"/>
      <c r="AN729" s="91"/>
    </row>
    <row r="730">
      <c r="A730" s="164"/>
      <c r="B730" s="165"/>
      <c r="C730" s="165"/>
      <c r="D730" s="164"/>
      <c r="E730" s="164"/>
      <c r="F730" s="164"/>
      <c r="G730" s="91"/>
      <c r="H730" s="91"/>
      <c r="I730" s="91"/>
      <c r="J730" s="91"/>
      <c r="K730" s="160"/>
      <c r="L730" s="160"/>
      <c r="M730" s="160"/>
      <c r="N730" s="160"/>
      <c r="O730" s="160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  <c r="AC730" s="91"/>
      <c r="AD730" s="91"/>
      <c r="AE730" s="91"/>
      <c r="AF730" s="91"/>
      <c r="AG730" s="91"/>
      <c r="AH730" s="91"/>
      <c r="AI730" s="91"/>
      <c r="AJ730" s="91"/>
      <c r="AK730" s="91"/>
      <c r="AL730" s="91"/>
      <c r="AM730" s="91"/>
      <c r="AN730" s="91"/>
    </row>
    <row r="731">
      <c r="A731" s="164"/>
      <c r="B731" s="165"/>
      <c r="C731" s="165"/>
      <c r="D731" s="164"/>
      <c r="E731" s="164"/>
      <c r="F731" s="164"/>
      <c r="G731" s="91"/>
      <c r="H731" s="91"/>
      <c r="I731" s="91"/>
      <c r="J731" s="91"/>
      <c r="K731" s="160"/>
      <c r="L731" s="160"/>
      <c r="M731" s="160"/>
      <c r="N731" s="160"/>
      <c r="O731" s="160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  <c r="AC731" s="91"/>
      <c r="AD731" s="91"/>
      <c r="AE731" s="91"/>
      <c r="AF731" s="91"/>
      <c r="AG731" s="91"/>
      <c r="AH731" s="91"/>
      <c r="AI731" s="91"/>
      <c r="AJ731" s="91"/>
      <c r="AK731" s="91"/>
      <c r="AL731" s="91"/>
      <c r="AM731" s="91"/>
      <c r="AN731" s="91"/>
    </row>
    <row r="732">
      <c r="A732" s="164"/>
      <c r="B732" s="165"/>
      <c r="C732" s="165"/>
      <c r="D732" s="164"/>
      <c r="E732" s="164"/>
      <c r="F732" s="164"/>
      <c r="G732" s="91"/>
      <c r="H732" s="91"/>
      <c r="I732" s="91"/>
      <c r="J732" s="91"/>
      <c r="K732" s="160"/>
      <c r="L732" s="160"/>
      <c r="M732" s="160"/>
      <c r="N732" s="160"/>
      <c r="O732" s="160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  <c r="AC732" s="91"/>
      <c r="AD732" s="91"/>
      <c r="AE732" s="91"/>
      <c r="AF732" s="91"/>
      <c r="AG732" s="91"/>
      <c r="AH732" s="91"/>
      <c r="AI732" s="91"/>
      <c r="AJ732" s="91"/>
      <c r="AK732" s="91"/>
      <c r="AL732" s="91"/>
      <c r="AM732" s="91"/>
      <c r="AN732" s="91"/>
    </row>
    <row r="733">
      <c r="A733" s="164"/>
      <c r="B733" s="165"/>
      <c r="C733" s="165"/>
      <c r="D733" s="164"/>
      <c r="E733" s="164"/>
      <c r="F733" s="164"/>
      <c r="G733" s="91"/>
      <c r="H733" s="91"/>
      <c r="I733" s="91"/>
      <c r="J733" s="91"/>
      <c r="K733" s="160"/>
      <c r="L733" s="160"/>
      <c r="M733" s="160"/>
      <c r="N733" s="160"/>
      <c r="O733" s="160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  <c r="AC733" s="91"/>
      <c r="AD733" s="91"/>
      <c r="AE733" s="91"/>
      <c r="AF733" s="91"/>
      <c r="AG733" s="91"/>
      <c r="AH733" s="91"/>
      <c r="AI733" s="91"/>
      <c r="AJ733" s="91"/>
      <c r="AK733" s="91"/>
      <c r="AL733" s="91"/>
      <c r="AM733" s="91"/>
      <c r="AN733" s="91"/>
    </row>
    <row r="734">
      <c r="A734" s="164"/>
      <c r="B734" s="165"/>
      <c r="C734" s="165"/>
      <c r="D734" s="164"/>
      <c r="E734" s="164"/>
      <c r="F734" s="164"/>
      <c r="G734" s="91"/>
      <c r="H734" s="91"/>
      <c r="I734" s="91"/>
      <c r="J734" s="91"/>
      <c r="K734" s="160"/>
      <c r="L734" s="160"/>
      <c r="M734" s="160"/>
      <c r="N734" s="160"/>
      <c r="O734" s="160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  <c r="AC734" s="91"/>
      <c r="AD734" s="91"/>
      <c r="AE734" s="91"/>
      <c r="AF734" s="91"/>
      <c r="AG734" s="91"/>
      <c r="AH734" s="91"/>
      <c r="AI734" s="91"/>
      <c r="AJ734" s="91"/>
      <c r="AK734" s="91"/>
      <c r="AL734" s="91"/>
      <c r="AM734" s="91"/>
      <c r="AN734" s="91"/>
    </row>
    <row r="735">
      <c r="A735" s="164"/>
      <c r="B735" s="165"/>
      <c r="C735" s="165"/>
      <c r="D735" s="164"/>
      <c r="E735" s="164"/>
      <c r="F735" s="164"/>
      <c r="G735" s="91"/>
      <c r="H735" s="91"/>
      <c r="I735" s="91"/>
      <c r="J735" s="91"/>
      <c r="K735" s="160"/>
      <c r="L735" s="160"/>
      <c r="M735" s="160"/>
      <c r="N735" s="160"/>
      <c r="O735" s="160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  <c r="AC735" s="91"/>
      <c r="AD735" s="91"/>
      <c r="AE735" s="91"/>
      <c r="AF735" s="91"/>
      <c r="AG735" s="91"/>
      <c r="AH735" s="91"/>
      <c r="AI735" s="91"/>
      <c r="AJ735" s="91"/>
      <c r="AK735" s="91"/>
      <c r="AL735" s="91"/>
      <c r="AM735" s="91"/>
      <c r="AN735" s="91"/>
    </row>
    <row r="736">
      <c r="A736" s="164"/>
      <c r="B736" s="165"/>
      <c r="C736" s="165"/>
      <c r="D736" s="164"/>
      <c r="E736" s="164"/>
      <c r="F736" s="164"/>
      <c r="G736" s="91"/>
      <c r="H736" s="91"/>
      <c r="I736" s="91"/>
      <c r="J736" s="91"/>
      <c r="K736" s="160"/>
      <c r="L736" s="160"/>
      <c r="M736" s="160"/>
      <c r="N736" s="160"/>
      <c r="O736" s="160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  <c r="AC736" s="91"/>
      <c r="AD736" s="91"/>
      <c r="AE736" s="91"/>
      <c r="AF736" s="91"/>
      <c r="AG736" s="91"/>
      <c r="AH736" s="91"/>
      <c r="AI736" s="91"/>
      <c r="AJ736" s="91"/>
      <c r="AK736" s="91"/>
      <c r="AL736" s="91"/>
      <c r="AM736" s="91"/>
      <c r="AN736" s="91"/>
    </row>
    <row r="737">
      <c r="A737" s="164"/>
      <c r="B737" s="165"/>
      <c r="C737" s="165"/>
      <c r="D737" s="164"/>
      <c r="E737" s="164"/>
      <c r="F737" s="164"/>
      <c r="G737" s="91"/>
      <c r="H737" s="91"/>
      <c r="I737" s="91"/>
      <c r="J737" s="91"/>
      <c r="K737" s="160"/>
      <c r="L737" s="160"/>
      <c r="M737" s="160"/>
      <c r="N737" s="160"/>
      <c r="O737" s="160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  <c r="AC737" s="91"/>
      <c r="AD737" s="91"/>
      <c r="AE737" s="91"/>
      <c r="AF737" s="91"/>
      <c r="AG737" s="91"/>
      <c r="AH737" s="91"/>
      <c r="AI737" s="91"/>
      <c r="AJ737" s="91"/>
      <c r="AK737" s="91"/>
      <c r="AL737" s="91"/>
      <c r="AM737" s="91"/>
      <c r="AN737" s="91"/>
    </row>
    <row r="738">
      <c r="A738" s="164"/>
      <c r="B738" s="165"/>
      <c r="C738" s="165"/>
      <c r="D738" s="164"/>
      <c r="E738" s="164"/>
      <c r="F738" s="164"/>
      <c r="G738" s="91"/>
      <c r="H738" s="91"/>
      <c r="I738" s="91"/>
      <c r="J738" s="91"/>
      <c r="K738" s="160"/>
      <c r="L738" s="160"/>
      <c r="M738" s="160"/>
      <c r="N738" s="160"/>
      <c r="O738" s="160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  <c r="AC738" s="91"/>
      <c r="AD738" s="91"/>
      <c r="AE738" s="91"/>
      <c r="AF738" s="91"/>
      <c r="AG738" s="91"/>
      <c r="AH738" s="91"/>
      <c r="AI738" s="91"/>
      <c r="AJ738" s="91"/>
      <c r="AK738" s="91"/>
      <c r="AL738" s="91"/>
      <c r="AM738" s="91"/>
      <c r="AN738" s="91"/>
    </row>
    <row r="739">
      <c r="A739" s="164"/>
      <c r="B739" s="165"/>
      <c r="C739" s="165"/>
      <c r="D739" s="164"/>
      <c r="E739" s="164"/>
      <c r="F739" s="164"/>
      <c r="G739" s="91"/>
      <c r="H739" s="91"/>
      <c r="I739" s="91"/>
      <c r="J739" s="91"/>
      <c r="K739" s="160"/>
      <c r="L739" s="160"/>
      <c r="M739" s="160"/>
      <c r="N739" s="160"/>
      <c r="O739" s="160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  <c r="AC739" s="91"/>
      <c r="AD739" s="91"/>
      <c r="AE739" s="91"/>
      <c r="AF739" s="91"/>
      <c r="AG739" s="91"/>
      <c r="AH739" s="91"/>
      <c r="AI739" s="91"/>
      <c r="AJ739" s="91"/>
      <c r="AK739" s="91"/>
      <c r="AL739" s="91"/>
      <c r="AM739" s="91"/>
      <c r="AN739" s="91"/>
    </row>
    <row r="740">
      <c r="A740" s="164"/>
      <c r="B740" s="165"/>
      <c r="C740" s="165"/>
      <c r="D740" s="164"/>
      <c r="E740" s="164"/>
      <c r="F740" s="164"/>
      <c r="G740" s="91"/>
      <c r="H740" s="91"/>
      <c r="I740" s="91"/>
      <c r="J740" s="91"/>
      <c r="K740" s="160"/>
      <c r="L740" s="160"/>
      <c r="M740" s="160"/>
      <c r="N740" s="160"/>
      <c r="O740" s="160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  <c r="AC740" s="91"/>
      <c r="AD740" s="91"/>
      <c r="AE740" s="91"/>
      <c r="AF740" s="91"/>
      <c r="AG740" s="91"/>
      <c r="AH740" s="91"/>
      <c r="AI740" s="91"/>
      <c r="AJ740" s="91"/>
      <c r="AK740" s="91"/>
      <c r="AL740" s="91"/>
      <c r="AM740" s="91"/>
      <c r="AN740" s="91"/>
    </row>
    <row r="741">
      <c r="A741" s="164"/>
      <c r="B741" s="165"/>
      <c r="C741" s="165"/>
      <c r="D741" s="164"/>
      <c r="E741" s="164"/>
      <c r="F741" s="164"/>
      <c r="G741" s="91"/>
      <c r="H741" s="91"/>
      <c r="I741" s="91"/>
      <c r="J741" s="91"/>
      <c r="K741" s="160"/>
      <c r="L741" s="160"/>
      <c r="M741" s="160"/>
      <c r="N741" s="160"/>
      <c r="O741" s="160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  <c r="AC741" s="91"/>
      <c r="AD741" s="91"/>
      <c r="AE741" s="91"/>
      <c r="AF741" s="91"/>
      <c r="AG741" s="91"/>
      <c r="AH741" s="91"/>
      <c r="AI741" s="91"/>
      <c r="AJ741" s="91"/>
      <c r="AK741" s="91"/>
      <c r="AL741" s="91"/>
      <c r="AM741" s="91"/>
      <c r="AN741" s="91"/>
    </row>
    <row r="742">
      <c r="A742" s="164"/>
      <c r="B742" s="165"/>
      <c r="C742" s="165"/>
      <c r="D742" s="164"/>
      <c r="E742" s="164"/>
      <c r="F742" s="164"/>
      <c r="G742" s="91"/>
      <c r="H742" s="91"/>
      <c r="I742" s="91"/>
      <c r="J742" s="91"/>
      <c r="K742" s="160"/>
      <c r="L742" s="160"/>
      <c r="M742" s="160"/>
      <c r="N742" s="160"/>
      <c r="O742" s="160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  <c r="AC742" s="91"/>
      <c r="AD742" s="91"/>
      <c r="AE742" s="91"/>
      <c r="AF742" s="91"/>
      <c r="AG742" s="91"/>
      <c r="AH742" s="91"/>
      <c r="AI742" s="91"/>
      <c r="AJ742" s="91"/>
      <c r="AK742" s="91"/>
      <c r="AL742" s="91"/>
      <c r="AM742" s="91"/>
      <c r="AN742" s="91"/>
    </row>
    <row r="743">
      <c r="A743" s="164"/>
      <c r="B743" s="165"/>
      <c r="C743" s="165"/>
      <c r="D743" s="164"/>
      <c r="E743" s="164"/>
      <c r="F743" s="164"/>
      <c r="G743" s="91"/>
      <c r="H743" s="91"/>
      <c r="I743" s="91"/>
      <c r="J743" s="91"/>
      <c r="K743" s="160"/>
      <c r="L743" s="160"/>
      <c r="M743" s="160"/>
      <c r="N743" s="160"/>
      <c r="O743" s="160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  <c r="AC743" s="91"/>
      <c r="AD743" s="91"/>
      <c r="AE743" s="91"/>
      <c r="AF743" s="91"/>
      <c r="AG743" s="91"/>
      <c r="AH743" s="91"/>
      <c r="AI743" s="91"/>
      <c r="AJ743" s="91"/>
      <c r="AK743" s="91"/>
      <c r="AL743" s="91"/>
      <c r="AM743" s="91"/>
      <c r="AN743" s="91"/>
    </row>
    <row r="744">
      <c r="A744" s="164"/>
      <c r="B744" s="165"/>
      <c r="C744" s="165"/>
      <c r="D744" s="164"/>
      <c r="E744" s="164"/>
      <c r="F744" s="164"/>
      <c r="G744" s="91"/>
      <c r="H744" s="91"/>
      <c r="I744" s="91"/>
      <c r="J744" s="91"/>
      <c r="K744" s="160"/>
      <c r="L744" s="160"/>
      <c r="M744" s="160"/>
      <c r="N744" s="160"/>
      <c r="O744" s="160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  <c r="AC744" s="91"/>
      <c r="AD744" s="91"/>
      <c r="AE744" s="91"/>
      <c r="AF744" s="91"/>
      <c r="AG744" s="91"/>
      <c r="AH744" s="91"/>
      <c r="AI744" s="91"/>
      <c r="AJ744" s="91"/>
      <c r="AK744" s="91"/>
      <c r="AL744" s="91"/>
      <c r="AM744" s="91"/>
      <c r="AN744" s="91"/>
    </row>
    <row r="745">
      <c r="A745" s="164"/>
      <c r="B745" s="165"/>
      <c r="C745" s="165"/>
      <c r="D745" s="164"/>
      <c r="E745" s="164"/>
      <c r="F745" s="164"/>
      <c r="G745" s="91"/>
      <c r="H745" s="91"/>
      <c r="I745" s="91"/>
      <c r="J745" s="91"/>
      <c r="K745" s="160"/>
      <c r="L745" s="160"/>
      <c r="M745" s="160"/>
      <c r="N745" s="160"/>
      <c r="O745" s="160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  <c r="AC745" s="91"/>
      <c r="AD745" s="91"/>
      <c r="AE745" s="91"/>
      <c r="AF745" s="91"/>
      <c r="AG745" s="91"/>
      <c r="AH745" s="91"/>
      <c r="AI745" s="91"/>
      <c r="AJ745" s="91"/>
      <c r="AK745" s="91"/>
      <c r="AL745" s="91"/>
      <c r="AM745" s="91"/>
      <c r="AN745" s="91"/>
    </row>
    <row r="746">
      <c r="A746" s="164"/>
      <c r="B746" s="165"/>
      <c r="C746" s="165"/>
      <c r="D746" s="164"/>
      <c r="E746" s="164"/>
      <c r="F746" s="164"/>
      <c r="G746" s="91"/>
      <c r="H746" s="91"/>
      <c r="I746" s="91"/>
      <c r="J746" s="91"/>
      <c r="K746" s="160"/>
      <c r="L746" s="160"/>
      <c r="M746" s="160"/>
      <c r="N746" s="160"/>
      <c r="O746" s="160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  <c r="AC746" s="91"/>
      <c r="AD746" s="91"/>
      <c r="AE746" s="91"/>
      <c r="AF746" s="91"/>
      <c r="AG746" s="91"/>
      <c r="AH746" s="91"/>
      <c r="AI746" s="91"/>
      <c r="AJ746" s="91"/>
      <c r="AK746" s="91"/>
      <c r="AL746" s="91"/>
      <c r="AM746" s="91"/>
      <c r="AN746" s="91"/>
    </row>
    <row r="747">
      <c r="A747" s="164"/>
      <c r="B747" s="165"/>
      <c r="C747" s="165"/>
      <c r="D747" s="164"/>
      <c r="E747" s="164"/>
      <c r="F747" s="164"/>
      <c r="G747" s="91"/>
      <c r="H747" s="91"/>
      <c r="I747" s="91"/>
      <c r="J747" s="91"/>
      <c r="K747" s="160"/>
      <c r="L747" s="160"/>
      <c r="M747" s="160"/>
      <c r="N747" s="160"/>
      <c r="O747" s="160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  <c r="AC747" s="91"/>
      <c r="AD747" s="91"/>
      <c r="AE747" s="91"/>
      <c r="AF747" s="91"/>
      <c r="AG747" s="91"/>
      <c r="AH747" s="91"/>
      <c r="AI747" s="91"/>
      <c r="AJ747" s="91"/>
      <c r="AK747" s="91"/>
      <c r="AL747" s="91"/>
      <c r="AM747" s="91"/>
      <c r="AN747" s="91"/>
    </row>
    <row r="748">
      <c r="A748" s="164"/>
      <c r="B748" s="165"/>
      <c r="C748" s="165"/>
      <c r="D748" s="164"/>
      <c r="E748" s="164"/>
      <c r="F748" s="164"/>
      <c r="G748" s="91"/>
      <c r="H748" s="91"/>
      <c r="I748" s="91"/>
      <c r="J748" s="91"/>
      <c r="K748" s="160"/>
      <c r="L748" s="160"/>
      <c r="M748" s="160"/>
      <c r="N748" s="160"/>
      <c r="O748" s="160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  <c r="AC748" s="91"/>
      <c r="AD748" s="91"/>
      <c r="AE748" s="91"/>
      <c r="AF748" s="91"/>
      <c r="AG748" s="91"/>
      <c r="AH748" s="91"/>
      <c r="AI748" s="91"/>
      <c r="AJ748" s="91"/>
      <c r="AK748" s="91"/>
      <c r="AL748" s="91"/>
      <c r="AM748" s="91"/>
      <c r="AN748" s="91"/>
    </row>
    <row r="749">
      <c r="A749" s="164"/>
      <c r="B749" s="165"/>
      <c r="C749" s="165"/>
      <c r="D749" s="164"/>
      <c r="E749" s="164"/>
      <c r="F749" s="164"/>
      <c r="G749" s="91"/>
      <c r="H749" s="91"/>
      <c r="I749" s="91"/>
      <c r="J749" s="91"/>
      <c r="K749" s="160"/>
      <c r="L749" s="160"/>
      <c r="M749" s="160"/>
      <c r="N749" s="160"/>
      <c r="O749" s="160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  <c r="AC749" s="91"/>
      <c r="AD749" s="91"/>
      <c r="AE749" s="91"/>
      <c r="AF749" s="91"/>
      <c r="AG749" s="91"/>
      <c r="AH749" s="91"/>
      <c r="AI749" s="91"/>
      <c r="AJ749" s="91"/>
      <c r="AK749" s="91"/>
      <c r="AL749" s="91"/>
      <c r="AM749" s="91"/>
      <c r="AN749" s="91"/>
    </row>
    <row r="750">
      <c r="A750" s="164"/>
      <c r="B750" s="165"/>
      <c r="C750" s="165"/>
      <c r="D750" s="164"/>
      <c r="E750" s="164"/>
      <c r="F750" s="164"/>
      <c r="G750" s="91"/>
      <c r="H750" s="91"/>
      <c r="I750" s="91"/>
      <c r="J750" s="91"/>
      <c r="K750" s="160"/>
      <c r="L750" s="160"/>
      <c r="M750" s="160"/>
      <c r="N750" s="160"/>
      <c r="O750" s="160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  <c r="AC750" s="91"/>
      <c r="AD750" s="91"/>
      <c r="AE750" s="91"/>
      <c r="AF750" s="91"/>
      <c r="AG750" s="91"/>
      <c r="AH750" s="91"/>
      <c r="AI750" s="91"/>
      <c r="AJ750" s="91"/>
      <c r="AK750" s="91"/>
      <c r="AL750" s="91"/>
      <c r="AM750" s="91"/>
      <c r="AN750" s="91"/>
    </row>
    <row r="751">
      <c r="A751" s="164"/>
      <c r="B751" s="165"/>
      <c r="C751" s="165"/>
      <c r="D751" s="164"/>
      <c r="E751" s="164"/>
      <c r="F751" s="164"/>
      <c r="G751" s="91"/>
      <c r="H751" s="91"/>
      <c r="I751" s="91"/>
      <c r="J751" s="91"/>
      <c r="K751" s="160"/>
      <c r="L751" s="160"/>
      <c r="M751" s="160"/>
      <c r="N751" s="160"/>
      <c r="O751" s="160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  <c r="AC751" s="91"/>
      <c r="AD751" s="91"/>
      <c r="AE751" s="91"/>
      <c r="AF751" s="91"/>
      <c r="AG751" s="91"/>
      <c r="AH751" s="91"/>
      <c r="AI751" s="91"/>
      <c r="AJ751" s="91"/>
      <c r="AK751" s="91"/>
      <c r="AL751" s="91"/>
      <c r="AM751" s="91"/>
      <c r="AN751" s="91"/>
    </row>
    <row r="752">
      <c r="A752" s="164"/>
      <c r="B752" s="165"/>
      <c r="C752" s="165"/>
      <c r="D752" s="164"/>
      <c r="E752" s="164"/>
      <c r="F752" s="164"/>
      <c r="G752" s="91"/>
      <c r="H752" s="91"/>
      <c r="I752" s="91"/>
      <c r="J752" s="91"/>
      <c r="K752" s="160"/>
      <c r="L752" s="160"/>
      <c r="M752" s="160"/>
      <c r="N752" s="160"/>
      <c r="O752" s="160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  <c r="AC752" s="91"/>
      <c r="AD752" s="91"/>
      <c r="AE752" s="91"/>
      <c r="AF752" s="91"/>
      <c r="AG752" s="91"/>
      <c r="AH752" s="91"/>
      <c r="AI752" s="91"/>
      <c r="AJ752" s="91"/>
      <c r="AK752" s="91"/>
      <c r="AL752" s="91"/>
      <c r="AM752" s="91"/>
      <c r="AN752" s="91"/>
    </row>
    <row r="753">
      <c r="A753" s="164"/>
      <c r="B753" s="165"/>
      <c r="C753" s="165"/>
      <c r="D753" s="164"/>
      <c r="E753" s="164"/>
      <c r="F753" s="164"/>
      <c r="G753" s="91"/>
      <c r="H753" s="91"/>
      <c r="I753" s="91"/>
      <c r="J753" s="91"/>
      <c r="K753" s="160"/>
      <c r="L753" s="160"/>
      <c r="M753" s="160"/>
      <c r="N753" s="160"/>
      <c r="O753" s="160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  <c r="AC753" s="91"/>
      <c r="AD753" s="91"/>
      <c r="AE753" s="91"/>
      <c r="AF753" s="91"/>
      <c r="AG753" s="91"/>
      <c r="AH753" s="91"/>
      <c r="AI753" s="91"/>
      <c r="AJ753" s="91"/>
      <c r="AK753" s="91"/>
      <c r="AL753" s="91"/>
      <c r="AM753" s="91"/>
      <c r="AN753" s="91"/>
    </row>
    <row r="754">
      <c r="A754" s="164"/>
      <c r="B754" s="165"/>
      <c r="C754" s="165"/>
      <c r="D754" s="164"/>
      <c r="E754" s="164"/>
      <c r="F754" s="164"/>
      <c r="G754" s="91"/>
      <c r="H754" s="91"/>
      <c r="I754" s="91"/>
      <c r="J754" s="91"/>
      <c r="K754" s="160"/>
      <c r="L754" s="160"/>
      <c r="M754" s="160"/>
      <c r="N754" s="160"/>
      <c r="O754" s="160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  <c r="AC754" s="91"/>
      <c r="AD754" s="91"/>
      <c r="AE754" s="91"/>
      <c r="AF754" s="91"/>
      <c r="AG754" s="91"/>
      <c r="AH754" s="91"/>
      <c r="AI754" s="91"/>
      <c r="AJ754" s="91"/>
      <c r="AK754" s="91"/>
      <c r="AL754" s="91"/>
      <c r="AM754" s="91"/>
      <c r="AN754" s="91"/>
    </row>
    <row r="755">
      <c r="A755" s="164"/>
      <c r="B755" s="165"/>
      <c r="C755" s="165"/>
      <c r="D755" s="164"/>
      <c r="E755" s="164"/>
      <c r="F755" s="164"/>
      <c r="G755" s="91"/>
      <c r="H755" s="91"/>
      <c r="I755" s="91"/>
      <c r="J755" s="91"/>
      <c r="K755" s="160"/>
      <c r="L755" s="160"/>
      <c r="M755" s="160"/>
      <c r="N755" s="160"/>
      <c r="O755" s="160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  <c r="AC755" s="91"/>
      <c r="AD755" s="91"/>
      <c r="AE755" s="91"/>
      <c r="AF755" s="91"/>
      <c r="AG755" s="91"/>
      <c r="AH755" s="91"/>
      <c r="AI755" s="91"/>
      <c r="AJ755" s="91"/>
      <c r="AK755" s="91"/>
      <c r="AL755" s="91"/>
      <c r="AM755" s="91"/>
      <c r="AN755" s="91"/>
    </row>
    <row r="756">
      <c r="A756" s="164"/>
      <c r="B756" s="165"/>
      <c r="C756" s="165"/>
      <c r="D756" s="164"/>
      <c r="E756" s="164"/>
      <c r="F756" s="164"/>
      <c r="G756" s="91"/>
      <c r="H756" s="91"/>
      <c r="I756" s="91"/>
      <c r="J756" s="91"/>
      <c r="K756" s="160"/>
      <c r="L756" s="160"/>
      <c r="M756" s="160"/>
      <c r="N756" s="160"/>
      <c r="O756" s="160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  <c r="AC756" s="91"/>
      <c r="AD756" s="91"/>
      <c r="AE756" s="91"/>
      <c r="AF756" s="91"/>
      <c r="AG756" s="91"/>
      <c r="AH756" s="91"/>
      <c r="AI756" s="91"/>
      <c r="AJ756" s="91"/>
      <c r="AK756" s="91"/>
      <c r="AL756" s="91"/>
      <c r="AM756" s="91"/>
      <c r="AN756" s="91"/>
    </row>
    <row r="757">
      <c r="A757" s="164"/>
      <c r="B757" s="165"/>
      <c r="C757" s="165"/>
      <c r="D757" s="164"/>
      <c r="E757" s="164"/>
      <c r="F757" s="164"/>
      <c r="G757" s="91"/>
      <c r="H757" s="91"/>
      <c r="I757" s="91"/>
      <c r="J757" s="91"/>
      <c r="K757" s="160"/>
      <c r="L757" s="160"/>
      <c r="M757" s="160"/>
      <c r="N757" s="160"/>
      <c r="O757" s="160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  <c r="AC757" s="91"/>
      <c r="AD757" s="91"/>
      <c r="AE757" s="91"/>
      <c r="AF757" s="91"/>
      <c r="AG757" s="91"/>
      <c r="AH757" s="91"/>
      <c r="AI757" s="91"/>
      <c r="AJ757" s="91"/>
      <c r="AK757" s="91"/>
      <c r="AL757" s="91"/>
      <c r="AM757" s="91"/>
      <c r="AN757" s="91"/>
    </row>
    <row r="758">
      <c r="A758" s="164"/>
      <c r="B758" s="165"/>
      <c r="C758" s="165"/>
      <c r="D758" s="164"/>
      <c r="E758" s="164"/>
      <c r="F758" s="164"/>
      <c r="G758" s="91"/>
      <c r="H758" s="91"/>
      <c r="I758" s="91"/>
      <c r="J758" s="91"/>
      <c r="K758" s="160"/>
      <c r="L758" s="160"/>
      <c r="M758" s="160"/>
      <c r="N758" s="160"/>
      <c r="O758" s="160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  <c r="AC758" s="91"/>
      <c r="AD758" s="91"/>
      <c r="AE758" s="91"/>
      <c r="AF758" s="91"/>
      <c r="AG758" s="91"/>
      <c r="AH758" s="91"/>
      <c r="AI758" s="91"/>
      <c r="AJ758" s="91"/>
      <c r="AK758" s="91"/>
      <c r="AL758" s="91"/>
      <c r="AM758" s="91"/>
      <c r="AN758" s="91"/>
    </row>
    <row r="759">
      <c r="A759" s="164"/>
      <c r="B759" s="165"/>
      <c r="C759" s="165"/>
      <c r="D759" s="164"/>
      <c r="E759" s="164"/>
      <c r="F759" s="164"/>
      <c r="G759" s="91"/>
      <c r="H759" s="91"/>
      <c r="I759" s="91"/>
      <c r="J759" s="91"/>
      <c r="K759" s="160"/>
      <c r="L759" s="160"/>
      <c r="M759" s="160"/>
      <c r="N759" s="160"/>
      <c r="O759" s="160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  <c r="AC759" s="91"/>
      <c r="AD759" s="91"/>
      <c r="AE759" s="91"/>
      <c r="AF759" s="91"/>
      <c r="AG759" s="91"/>
      <c r="AH759" s="91"/>
      <c r="AI759" s="91"/>
      <c r="AJ759" s="91"/>
      <c r="AK759" s="91"/>
      <c r="AL759" s="91"/>
      <c r="AM759" s="91"/>
      <c r="AN759" s="91"/>
    </row>
    <row r="760">
      <c r="A760" s="164"/>
      <c r="B760" s="165"/>
      <c r="C760" s="165"/>
      <c r="D760" s="164"/>
      <c r="E760" s="164"/>
      <c r="F760" s="164"/>
      <c r="G760" s="91"/>
      <c r="H760" s="91"/>
      <c r="I760" s="91"/>
      <c r="J760" s="91"/>
      <c r="K760" s="160"/>
      <c r="L760" s="160"/>
      <c r="M760" s="160"/>
      <c r="N760" s="160"/>
      <c r="O760" s="160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  <c r="AC760" s="91"/>
      <c r="AD760" s="91"/>
      <c r="AE760" s="91"/>
      <c r="AF760" s="91"/>
      <c r="AG760" s="91"/>
      <c r="AH760" s="91"/>
      <c r="AI760" s="91"/>
      <c r="AJ760" s="91"/>
      <c r="AK760" s="91"/>
      <c r="AL760" s="91"/>
      <c r="AM760" s="91"/>
      <c r="AN760" s="91"/>
    </row>
    <row r="761">
      <c r="A761" s="164"/>
      <c r="B761" s="165"/>
      <c r="C761" s="165"/>
      <c r="D761" s="164"/>
      <c r="E761" s="164"/>
      <c r="F761" s="164"/>
      <c r="G761" s="91"/>
      <c r="H761" s="91"/>
      <c r="I761" s="91"/>
      <c r="J761" s="91"/>
      <c r="K761" s="160"/>
      <c r="L761" s="160"/>
      <c r="M761" s="160"/>
      <c r="N761" s="160"/>
      <c r="O761" s="160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  <c r="AC761" s="91"/>
      <c r="AD761" s="91"/>
      <c r="AE761" s="91"/>
      <c r="AF761" s="91"/>
      <c r="AG761" s="91"/>
      <c r="AH761" s="91"/>
      <c r="AI761" s="91"/>
      <c r="AJ761" s="91"/>
      <c r="AK761" s="91"/>
      <c r="AL761" s="91"/>
      <c r="AM761" s="91"/>
      <c r="AN761" s="91"/>
    </row>
    <row r="762">
      <c r="A762" s="164"/>
      <c r="B762" s="165"/>
      <c r="C762" s="165"/>
      <c r="D762" s="164"/>
      <c r="E762" s="164"/>
      <c r="F762" s="164"/>
      <c r="G762" s="91"/>
      <c r="H762" s="91"/>
      <c r="I762" s="91"/>
      <c r="J762" s="91"/>
      <c r="K762" s="160"/>
      <c r="L762" s="160"/>
      <c r="M762" s="160"/>
      <c r="N762" s="160"/>
      <c r="O762" s="160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  <c r="AC762" s="91"/>
      <c r="AD762" s="91"/>
      <c r="AE762" s="91"/>
      <c r="AF762" s="91"/>
      <c r="AG762" s="91"/>
      <c r="AH762" s="91"/>
      <c r="AI762" s="91"/>
      <c r="AJ762" s="91"/>
      <c r="AK762" s="91"/>
      <c r="AL762" s="91"/>
      <c r="AM762" s="91"/>
      <c r="AN762" s="91"/>
    </row>
    <row r="763">
      <c r="A763" s="164"/>
      <c r="B763" s="165"/>
      <c r="C763" s="165"/>
      <c r="D763" s="164"/>
      <c r="E763" s="164"/>
      <c r="F763" s="164"/>
      <c r="G763" s="91"/>
      <c r="H763" s="91"/>
      <c r="I763" s="91"/>
      <c r="J763" s="91"/>
      <c r="K763" s="160"/>
      <c r="L763" s="160"/>
      <c r="M763" s="160"/>
      <c r="N763" s="160"/>
      <c r="O763" s="160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  <c r="AC763" s="91"/>
      <c r="AD763" s="91"/>
      <c r="AE763" s="91"/>
      <c r="AF763" s="91"/>
      <c r="AG763" s="91"/>
      <c r="AH763" s="91"/>
      <c r="AI763" s="91"/>
      <c r="AJ763" s="91"/>
      <c r="AK763" s="91"/>
      <c r="AL763" s="91"/>
      <c r="AM763" s="91"/>
      <c r="AN763" s="91"/>
    </row>
    <row r="764">
      <c r="A764" s="164"/>
      <c r="B764" s="165"/>
      <c r="C764" s="165"/>
      <c r="D764" s="164"/>
      <c r="E764" s="164"/>
      <c r="F764" s="164"/>
      <c r="G764" s="91"/>
      <c r="H764" s="91"/>
      <c r="I764" s="91"/>
      <c r="J764" s="91"/>
      <c r="K764" s="160"/>
      <c r="L764" s="160"/>
      <c r="M764" s="160"/>
      <c r="N764" s="160"/>
      <c r="O764" s="160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  <c r="AC764" s="91"/>
      <c r="AD764" s="91"/>
      <c r="AE764" s="91"/>
      <c r="AF764" s="91"/>
      <c r="AG764" s="91"/>
      <c r="AH764" s="91"/>
      <c r="AI764" s="91"/>
      <c r="AJ764" s="91"/>
      <c r="AK764" s="91"/>
      <c r="AL764" s="91"/>
      <c r="AM764" s="91"/>
      <c r="AN764" s="91"/>
    </row>
    <row r="765">
      <c r="A765" s="164"/>
      <c r="B765" s="165"/>
      <c r="C765" s="165"/>
      <c r="D765" s="164"/>
      <c r="E765" s="164"/>
      <c r="F765" s="164"/>
      <c r="G765" s="91"/>
      <c r="H765" s="91"/>
      <c r="I765" s="91"/>
      <c r="J765" s="91"/>
      <c r="K765" s="160"/>
      <c r="L765" s="160"/>
      <c r="M765" s="160"/>
      <c r="N765" s="160"/>
      <c r="O765" s="160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  <c r="AC765" s="91"/>
      <c r="AD765" s="91"/>
      <c r="AE765" s="91"/>
      <c r="AF765" s="91"/>
      <c r="AG765" s="91"/>
      <c r="AH765" s="91"/>
      <c r="AI765" s="91"/>
      <c r="AJ765" s="91"/>
      <c r="AK765" s="91"/>
      <c r="AL765" s="91"/>
      <c r="AM765" s="91"/>
      <c r="AN765" s="91"/>
    </row>
    <row r="766">
      <c r="A766" s="164"/>
      <c r="B766" s="165"/>
      <c r="C766" s="165"/>
      <c r="D766" s="164"/>
      <c r="E766" s="164"/>
      <c r="F766" s="164"/>
      <c r="G766" s="91"/>
      <c r="H766" s="91"/>
      <c r="I766" s="91"/>
      <c r="J766" s="91"/>
      <c r="K766" s="160"/>
      <c r="L766" s="160"/>
      <c r="M766" s="160"/>
      <c r="N766" s="160"/>
      <c r="O766" s="160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  <c r="AC766" s="91"/>
      <c r="AD766" s="91"/>
      <c r="AE766" s="91"/>
      <c r="AF766" s="91"/>
      <c r="AG766" s="91"/>
      <c r="AH766" s="91"/>
      <c r="AI766" s="91"/>
      <c r="AJ766" s="91"/>
      <c r="AK766" s="91"/>
      <c r="AL766" s="91"/>
      <c r="AM766" s="91"/>
      <c r="AN766" s="91"/>
    </row>
    <row r="767">
      <c r="A767" s="164"/>
      <c r="B767" s="165"/>
      <c r="C767" s="165"/>
      <c r="D767" s="164"/>
      <c r="E767" s="164"/>
      <c r="F767" s="164"/>
      <c r="G767" s="91"/>
      <c r="H767" s="91"/>
      <c r="I767" s="91"/>
      <c r="J767" s="91"/>
      <c r="K767" s="160"/>
      <c r="L767" s="160"/>
      <c r="M767" s="160"/>
      <c r="N767" s="160"/>
      <c r="O767" s="160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  <c r="AC767" s="91"/>
      <c r="AD767" s="91"/>
      <c r="AE767" s="91"/>
      <c r="AF767" s="91"/>
      <c r="AG767" s="91"/>
      <c r="AH767" s="91"/>
      <c r="AI767" s="91"/>
      <c r="AJ767" s="91"/>
      <c r="AK767" s="91"/>
      <c r="AL767" s="91"/>
      <c r="AM767" s="91"/>
      <c r="AN767" s="91"/>
    </row>
    <row r="768">
      <c r="A768" s="164"/>
      <c r="B768" s="165"/>
      <c r="C768" s="165"/>
      <c r="D768" s="164"/>
      <c r="E768" s="164"/>
      <c r="F768" s="164"/>
      <c r="G768" s="91"/>
      <c r="H768" s="91"/>
      <c r="I768" s="91"/>
      <c r="J768" s="91"/>
      <c r="K768" s="160"/>
      <c r="L768" s="160"/>
      <c r="M768" s="160"/>
      <c r="N768" s="160"/>
      <c r="O768" s="160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  <c r="AC768" s="91"/>
      <c r="AD768" s="91"/>
      <c r="AE768" s="91"/>
      <c r="AF768" s="91"/>
      <c r="AG768" s="91"/>
      <c r="AH768" s="91"/>
      <c r="AI768" s="91"/>
      <c r="AJ768" s="91"/>
      <c r="AK768" s="91"/>
      <c r="AL768" s="91"/>
      <c r="AM768" s="91"/>
      <c r="AN768" s="91"/>
    </row>
    <row r="769">
      <c r="A769" s="164"/>
      <c r="B769" s="165"/>
      <c r="C769" s="165"/>
      <c r="D769" s="164"/>
      <c r="E769" s="164"/>
      <c r="F769" s="164"/>
      <c r="G769" s="91"/>
      <c r="H769" s="91"/>
      <c r="I769" s="91"/>
      <c r="J769" s="91"/>
      <c r="K769" s="160"/>
      <c r="L769" s="160"/>
      <c r="M769" s="160"/>
      <c r="N769" s="160"/>
      <c r="O769" s="160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  <c r="AC769" s="91"/>
      <c r="AD769" s="91"/>
      <c r="AE769" s="91"/>
      <c r="AF769" s="91"/>
      <c r="AG769" s="91"/>
      <c r="AH769" s="91"/>
      <c r="AI769" s="91"/>
      <c r="AJ769" s="91"/>
      <c r="AK769" s="91"/>
      <c r="AL769" s="91"/>
      <c r="AM769" s="91"/>
      <c r="AN769" s="91"/>
    </row>
    <row r="770">
      <c r="A770" s="164"/>
      <c r="B770" s="165"/>
      <c r="C770" s="165"/>
      <c r="D770" s="164"/>
      <c r="E770" s="164"/>
      <c r="F770" s="164"/>
      <c r="G770" s="91"/>
      <c r="H770" s="91"/>
      <c r="I770" s="91"/>
      <c r="J770" s="91"/>
      <c r="K770" s="160"/>
      <c r="L770" s="160"/>
      <c r="M770" s="160"/>
      <c r="N770" s="160"/>
      <c r="O770" s="160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  <c r="AC770" s="91"/>
      <c r="AD770" s="91"/>
      <c r="AE770" s="91"/>
      <c r="AF770" s="91"/>
      <c r="AG770" s="91"/>
      <c r="AH770" s="91"/>
      <c r="AI770" s="91"/>
      <c r="AJ770" s="91"/>
      <c r="AK770" s="91"/>
      <c r="AL770" s="91"/>
      <c r="AM770" s="91"/>
      <c r="AN770" s="91"/>
    </row>
    <row r="771">
      <c r="A771" s="164"/>
      <c r="B771" s="165"/>
      <c r="C771" s="165"/>
      <c r="D771" s="164"/>
      <c r="E771" s="164"/>
      <c r="F771" s="164"/>
      <c r="G771" s="91"/>
      <c r="H771" s="91"/>
      <c r="I771" s="91"/>
      <c r="J771" s="91"/>
      <c r="K771" s="160"/>
      <c r="L771" s="160"/>
      <c r="M771" s="160"/>
      <c r="N771" s="160"/>
      <c r="O771" s="160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  <c r="AC771" s="91"/>
      <c r="AD771" s="91"/>
      <c r="AE771" s="91"/>
      <c r="AF771" s="91"/>
      <c r="AG771" s="91"/>
      <c r="AH771" s="91"/>
      <c r="AI771" s="91"/>
      <c r="AJ771" s="91"/>
      <c r="AK771" s="91"/>
      <c r="AL771" s="91"/>
      <c r="AM771" s="91"/>
      <c r="AN771" s="91"/>
    </row>
    <row r="772">
      <c r="A772" s="164"/>
      <c r="B772" s="165"/>
      <c r="C772" s="165"/>
      <c r="D772" s="164"/>
      <c r="E772" s="164"/>
      <c r="F772" s="164"/>
      <c r="G772" s="91"/>
      <c r="H772" s="91"/>
      <c r="I772" s="91"/>
      <c r="J772" s="91"/>
      <c r="K772" s="160"/>
      <c r="L772" s="160"/>
      <c r="M772" s="160"/>
      <c r="N772" s="160"/>
      <c r="O772" s="160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  <c r="AC772" s="91"/>
      <c r="AD772" s="91"/>
      <c r="AE772" s="91"/>
      <c r="AF772" s="91"/>
      <c r="AG772" s="91"/>
      <c r="AH772" s="91"/>
      <c r="AI772" s="91"/>
      <c r="AJ772" s="91"/>
      <c r="AK772" s="91"/>
      <c r="AL772" s="91"/>
      <c r="AM772" s="91"/>
      <c r="AN772" s="91"/>
    </row>
    <row r="773">
      <c r="A773" s="164"/>
      <c r="B773" s="165"/>
      <c r="C773" s="165"/>
      <c r="D773" s="164"/>
      <c r="E773" s="164"/>
      <c r="F773" s="164"/>
      <c r="G773" s="91"/>
      <c r="H773" s="91"/>
      <c r="I773" s="91"/>
      <c r="J773" s="91"/>
      <c r="K773" s="160"/>
      <c r="L773" s="160"/>
      <c r="M773" s="160"/>
      <c r="N773" s="160"/>
      <c r="O773" s="160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  <c r="AC773" s="91"/>
      <c r="AD773" s="91"/>
      <c r="AE773" s="91"/>
      <c r="AF773" s="91"/>
      <c r="AG773" s="91"/>
      <c r="AH773" s="91"/>
      <c r="AI773" s="91"/>
      <c r="AJ773" s="91"/>
      <c r="AK773" s="91"/>
      <c r="AL773" s="91"/>
      <c r="AM773" s="91"/>
      <c r="AN773" s="91"/>
    </row>
    <row r="774">
      <c r="A774" s="164"/>
      <c r="B774" s="165"/>
      <c r="C774" s="165"/>
      <c r="D774" s="164"/>
      <c r="E774" s="164"/>
      <c r="F774" s="164"/>
      <c r="G774" s="91"/>
      <c r="H774" s="91"/>
      <c r="I774" s="91"/>
      <c r="J774" s="91"/>
      <c r="K774" s="160"/>
      <c r="L774" s="160"/>
      <c r="M774" s="160"/>
      <c r="N774" s="160"/>
      <c r="O774" s="160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  <c r="AC774" s="91"/>
      <c r="AD774" s="91"/>
      <c r="AE774" s="91"/>
      <c r="AF774" s="91"/>
      <c r="AG774" s="91"/>
      <c r="AH774" s="91"/>
      <c r="AI774" s="91"/>
      <c r="AJ774" s="91"/>
      <c r="AK774" s="91"/>
      <c r="AL774" s="91"/>
      <c r="AM774" s="91"/>
      <c r="AN774" s="91"/>
    </row>
    <row r="775">
      <c r="A775" s="164"/>
      <c r="B775" s="165"/>
      <c r="C775" s="165"/>
      <c r="D775" s="164"/>
      <c r="E775" s="164"/>
      <c r="F775" s="164"/>
      <c r="G775" s="91"/>
      <c r="H775" s="91"/>
      <c r="I775" s="91"/>
      <c r="J775" s="91"/>
      <c r="K775" s="160"/>
      <c r="L775" s="160"/>
      <c r="M775" s="160"/>
      <c r="N775" s="160"/>
      <c r="O775" s="160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  <c r="AC775" s="91"/>
      <c r="AD775" s="91"/>
      <c r="AE775" s="91"/>
      <c r="AF775" s="91"/>
      <c r="AG775" s="91"/>
      <c r="AH775" s="91"/>
      <c r="AI775" s="91"/>
      <c r="AJ775" s="91"/>
      <c r="AK775" s="91"/>
      <c r="AL775" s="91"/>
      <c r="AM775" s="91"/>
      <c r="AN775" s="91"/>
    </row>
    <row r="776">
      <c r="A776" s="164"/>
      <c r="B776" s="165"/>
      <c r="C776" s="165"/>
      <c r="D776" s="164"/>
      <c r="E776" s="164"/>
      <c r="F776" s="164"/>
      <c r="G776" s="91"/>
      <c r="H776" s="91"/>
      <c r="I776" s="91"/>
      <c r="J776" s="91"/>
      <c r="K776" s="160"/>
      <c r="L776" s="160"/>
      <c r="M776" s="160"/>
      <c r="N776" s="160"/>
      <c r="O776" s="160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  <c r="AC776" s="91"/>
      <c r="AD776" s="91"/>
      <c r="AE776" s="91"/>
      <c r="AF776" s="91"/>
      <c r="AG776" s="91"/>
      <c r="AH776" s="91"/>
      <c r="AI776" s="91"/>
      <c r="AJ776" s="91"/>
      <c r="AK776" s="91"/>
      <c r="AL776" s="91"/>
      <c r="AM776" s="91"/>
      <c r="AN776" s="91"/>
    </row>
    <row r="777">
      <c r="A777" s="164"/>
      <c r="B777" s="165"/>
      <c r="C777" s="165"/>
      <c r="D777" s="164"/>
      <c r="E777" s="164"/>
      <c r="F777" s="164"/>
      <c r="G777" s="91"/>
      <c r="H777" s="91"/>
      <c r="I777" s="91"/>
      <c r="J777" s="91"/>
      <c r="K777" s="160"/>
      <c r="L777" s="160"/>
      <c r="M777" s="160"/>
      <c r="N777" s="160"/>
      <c r="O777" s="160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  <c r="AC777" s="91"/>
      <c r="AD777" s="91"/>
      <c r="AE777" s="91"/>
      <c r="AF777" s="91"/>
      <c r="AG777" s="91"/>
      <c r="AH777" s="91"/>
      <c r="AI777" s="91"/>
      <c r="AJ777" s="91"/>
      <c r="AK777" s="91"/>
      <c r="AL777" s="91"/>
      <c r="AM777" s="91"/>
      <c r="AN777" s="91"/>
    </row>
    <row r="778">
      <c r="A778" s="164"/>
      <c r="B778" s="165"/>
      <c r="C778" s="165"/>
      <c r="D778" s="164"/>
      <c r="E778" s="164"/>
      <c r="F778" s="164"/>
      <c r="G778" s="91"/>
      <c r="H778" s="91"/>
      <c r="I778" s="91"/>
      <c r="J778" s="91"/>
      <c r="K778" s="160"/>
      <c r="L778" s="160"/>
      <c r="M778" s="160"/>
      <c r="N778" s="160"/>
      <c r="O778" s="160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  <c r="AC778" s="91"/>
      <c r="AD778" s="91"/>
      <c r="AE778" s="91"/>
      <c r="AF778" s="91"/>
      <c r="AG778" s="91"/>
      <c r="AH778" s="91"/>
      <c r="AI778" s="91"/>
      <c r="AJ778" s="91"/>
      <c r="AK778" s="91"/>
      <c r="AL778" s="91"/>
      <c r="AM778" s="91"/>
      <c r="AN778" s="91"/>
    </row>
    <row r="779">
      <c r="A779" s="164"/>
      <c r="B779" s="165"/>
      <c r="C779" s="165"/>
      <c r="D779" s="164"/>
      <c r="E779" s="164"/>
      <c r="F779" s="164"/>
      <c r="G779" s="91"/>
      <c r="H779" s="91"/>
      <c r="I779" s="91"/>
      <c r="J779" s="91"/>
      <c r="K779" s="160"/>
      <c r="L779" s="160"/>
      <c r="M779" s="160"/>
      <c r="N779" s="160"/>
      <c r="O779" s="160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  <c r="AC779" s="91"/>
      <c r="AD779" s="91"/>
      <c r="AE779" s="91"/>
      <c r="AF779" s="91"/>
      <c r="AG779" s="91"/>
      <c r="AH779" s="91"/>
      <c r="AI779" s="91"/>
      <c r="AJ779" s="91"/>
      <c r="AK779" s="91"/>
      <c r="AL779" s="91"/>
      <c r="AM779" s="91"/>
      <c r="AN779" s="91"/>
    </row>
    <row r="780">
      <c r="A780" s="164"/>
      <c r="B780" s="165"/>
      <c r="C780" s="165"/>
      <c r="D780" s="164"/>
      <c r="E780" s="164"/>
      <c r="F780" s="164"/>
      <c r="G780" s="91"/>
      <c r="H780" s="91"/>
      <c r="I780" s="91"/>
      <c r="J780" s="91"/>
      <c r="K780" s="160"/>
      <c r="L780" s="160"/>
      <c r="M780" s="160"/>
      <c r="N780" s="160"/>
      <c r="O780" s="160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  <c r="AC780" s="91"/>
      <c r="AD780" s="91"/>
      <c r="AE780" s="91"/>
      <c r="AF780" s="91"/>
      <c r="AG780" s="91"/>
      <c r="AH780" s="91"/>
      <c r="AI780" s="91"/>
      <c r="AJ780" s="91"/>
      <c r="AK780" s="91"/>
      <c r="AL780" s="91"/>
      <c r="AM780" s="91"/>
      <c r="AN780" s="91"/>
    </row>
    <row r="781">
      <c r="A781" s="164"/>
      <c r="B781" s="165"/>
      <c r="C781" s="165"/>
      <c r="D781" s="164"/>
      <c r="E781" s="164"/>
      <c r="F781" s="164"/>
      <c r="G781" s="91"/>
      <c r="H781" s="91"/>
      <c r="I781" s="91"/>
      <c r="J781" s="91"/>
      <c r="K781" s="160"/>
      <c r="L781" s="160"/>
      <c r="M781" s="160"/>
      <c r="N781" s="160"/>
      <c r="O781" s="160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  <c r="AC781" s="91"/>
      <c r="AD781" s="91"/>
      <c r="AE781" s="91"/>
      <c r="AF781" s="91"/>
      <c r="AG781" s="91"/>
      <c r="AH781" s="91"/>
      <c r="AI781" s="91"/>
      <c r="AJ781" s="91"/>
      <c r="AK781" s="91"/>
      <c r="AL781" s="91"/>
      <c r="AM781" s="91"/>
      <c r="AN781" s="91"/>
    </row>
    <row r="782">
      <c r="A782" s="164"/>
      <c r="B782" s="165"/>
      <c r="C782" s="165"/>
      <c r="D782" s="164"/>
      <c r="E782" s="164"/>
      <c r="F782" s="164"/>
      <c r="G782" s="91"/>
      <c r="H782" s="91"/>
      <c r="I782" s="91"/>
      <c r="J782" s="91"/>
      <c r="K782" s="160"/>
      <c r="L782" s="160"/>
      <c r="M782" s="160"/>
      <c r="N782" s="160"/>
      <c r="O782" s="160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  <c r="AC782" s="91"/>
      <c r="AD782" s="91"/>
      <c r="AE782" s="91"/>
      <c r="AF782" s="91"/>
      <c r="AG782" s="91"/>
      <c r="AH782" s="91"/>
      <c r="AI782" s="91"/>
      <c r="AJ782" s="91"/>
      <c r="AK782" s="91"/>
      <c r="AL782" s="91"/>
      <c r="AM782" s="91"/>
      <c r="AN782" s="91"/>
    </row>
    <row r="783">
      <c r="A783" s="164"/>
      <c r="B783" s="165"/>
      <c r="C783" s="165"/>
      <c r="D783" s="164"/>
      <c r="E783" s="164"/>
      <c r="F783" s="164"/>
      <c r="G783" s="91"/>
      <c r="H783" s="91"/>
      <c r="I783" s="91"/>
      <c r="J783" s="91"/>
      <c r="K783" s="160"/>
      <c r="L783" s="160"/>
      <c r="M783" s="160"/>
      <c r="N783" s="160"/>
      <c r="O783" s="160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  <c r="AC783" s="91"/>
      <c r="AD783" s="91"/>
      <c r="AE783" s="91"/>
      <c r="AF783" s="91"/>
      <c r="AG783" s="91"/>
      <c r="AH783" s="91"/>
      <c r="AI783" s="91"/>
      <c r="AJ783" s="91"/>
      <c r="AK783" s="91"/>
      <c r="AL783" s="91"/>
      <c r="AM783" s="91"/>
      <c r="AN783" s="91"/>
    </row>
    <row r="784">
      <c r="A784" s="164"/>
      <c r="B784" s="165"/>
      <c r="C784" s="165"/>
      <c r="D784" s="164"/>
      <c r="E784" s="164"/>
      <c r="F784" s="164"/>
      <c r="G784" s="91"/>
      <c r="H784" s="91"/>
      <c r="I784" s="91"/>
      <c r="J784" s="91"/>
      <c r="K784" s="160"/>
      <c r="L784" s="160"/>
      <c r="M784" s="160"/>
      <c r="N784" s="160"/>
      <c r="O784" s="160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  <c r="AC784" s="91"/>
      <c r="AD784" s="91"/>
      <c r="AE784" s="91"/>
      <c r="AF784" s="91"/>
      <c r="AG784" s="91"/>
      <c r="AH784" s="91"/>
      <c r="AI784" s="91"/>
      <c r="AJ784" s="91"/>
      <c r="AK784" s="91"/>
      <c r="AL784" s="91"/>
      <c r="AM784" s="91"/>
      <c r="AN784" s="91"/>
    </row>
    <row r="785">
      <c r="A785" s="164"/>
      <c r="B785" s="165"/>
      <c r="C785" s="165"/>
      <c r="D785" s="164"/>
      <c r="E785" s="164"/>
      <c r="F785" s="164"/>
      <c r="G785" s="91"/>
      <c r="H785" s="91"/>
      <c r="I785" s="91"/>
      <c r="J785" s="91"/>
      <c r="K785" s="160"/>
      <c r="L785" s="160"/>
      <c r="M785" s="160"/>
      <c r="N785" s="160"/>
      <c r="O785" s="160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  <c r="AC785" s="91"/>
      <c r="AD785" s="91"/>
      <c r="AE785" s="91"/>
      <c r="AF785" s="91"/>
      <c r="AG785" s="91"/>
      <c r="AH785" s="91"/>
      <c r="AI785" s="91"/>
      <c r="AJ785" s="91"/>
      <c r="AK785" s="91"/>
      <c r="AL785" s="91"/>
      <c r="AM785" s="91"/>
      <c r="AN785" s="91"/>
    </row>
    <row r="786">
      <c r="A786" s="164"/>
      <c r="B786" s="165"/>
      <c r="C786" s="165"/>
      <c r="D786" s="164"/>
      <c r="E786" s="164"/>
      <c r="F786" s="164"/>
      <c r="G786" s="91"/>
      <c r="H786" s="91"/>
      <c r="I786" s="91"/>
      <c r="J786" s="91"/>
      <c r="K786" s="160"/>
      <c r="L786" s="160"/>
      <c r="M786" s="160"/>
      <c r="N786" s="160"/>
      <c r="O786" s="160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  <c r="AC786" s="91"/>
      <c r="AD786" s="91"/>
      <c r="AE786" s="91"/>
      <c r="AF786" s="91"/>
      <c r="AG786" s="91"/>
      <c r="AH786" s="91"/>
      <c r="AI786" s="91"/>
      <c r="AJ786" s="91"/>
      <c r="AK786" s="91"/>
      <c r="AL786" s="91"/>
      <c r="AM786" s="91"/>
      <c r="AN786" s="91"/>
    </row>
    <row r="787">
      <c r="A787" s="164"/>
      <c r="B787" s="165"/>
      <c r="C787" s="165"/>
      <c r="D787" s="164"/>
      <c r="E787" s="164"/>
      <c r="F787" s="164"/>
      <c r="G787" s="91"/>
      <c r="H787" s="91"/>
      <c r="I787" s="91"/>
      <c r="J787" s="91"/>
      <c r="K787" s="160"/>
      <c r="L787" s="160"/>
      <c r="M787" s="160"/>
      <c r="N787" s="160"/>
      <c r="O787" s="160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  <c r="AC787" s="91"/>
      <c r="AD787" s="91"/>
      <c r="AE787" s="91"/>
      <c r="AF787" s="91"/>
      <c r="AG787" s="91"/>
      <c r="AH787" s="91"/>
      <c r="AI787" s="91"/>
      <c r="AJ787" s="91"/>
      <c r="AK787" s="91"/>
      <c r="AL787" s="91"/>
      <c r="AM787" s="91"/>
      <c r="AN787" s="91"/>
    </row>
    <row r="788">
      <c r="A788" s="164"/>
      <c r="B788" s="165"/>
      <c r="C788" s="165"/>
      <c r="D788" s="164"/>
      <c r="E788" s="164"/>
      <c r="F788" s="164"/>
      <c r="G788" s="91"/>
      <c r="H788" s="91"/>
      <c r="I788" s="91"/>
      <c r="J788" s="91"/>
      <c r="K788" s="160"/>
      <c r="L788" s="160"/>
      <c r="M788" s="160"/>
      <c r="N788" s="160"/>
      <c r="O788" s="160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  <c r="AC788" s="91"/>
      <c r="AD788" s="91"/>
      <c r="AE788" s="91"/>
      <c r="AF788" s="91"/>
      <c r="AG788" s="91"/>
      <c r="AH788" s="91"/>
      <c r="AI788" s="91"/>
      <c r="AJ788" s="91"/>
      <c r="AK788" s="91"/>
      <c r="AL788" s="91"/>
      <c r="AM788" s="91"/>
      <c r="AN788" s="91"/>
    </row>
    <row r="789">
      <c r="A789" s="164"/>
      <c r="B789" s="165"/>
      <c r="C789" s="165"/>
      <c r="D789" s="164"/>
      <c r="E789" s="164"/>
      <c r="F789" s="164"/>
      <c r="G789" s="91"/>
      <c r="H789" s="91"/>
      <c r="I789" s="91"/>
      <c r="J789" s="91"/>
      <c r="K789" s="160"/>
      <c r="L789" s="160"/>
      <c r="M789" s="160"/>
      <c r="N789" s="160"/>
      <c r="O789" s="160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  <c r="AC789" s="91"/>
      <c r="AD789" s="91"/>
      <c r="AE789" s="91"/>
      <c r="AF789" s="91"/>
      <c r="AG789" s="91"/>
      <c r="AH789" s="91"/>
      <c r="AI789" s="91"/>
      <c r="AJ789" s="91"/>
      <c r="AK789" s="91"/>
      <c r="AL789" s="91"/>
      <c r="AM789" s="91"/>
      <c r="AN789" s="91"/>
    </row>
    <row r="790">
      <c r="A790" s="164"/>
      <c r="B790" s="165"/>
      <c r="C790" s="165"/>
      <c r="D790" s="164"/>
      <c r="E790" s="164"/>
      <c r="F790" s="164"/>
      <c r="G790" s="91"/>
      <c r="H790" s="91"/>
      <c r="I790" s="91"/>
      <c r="J790" s="91"/>
      <c r="K790" s="160"/>
      <c r="L790" s="160"/>
      <c r="M790" s="160"/>
      <c r="N790" s="160"/>
      <c r="O790" s="160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  <c r="AC790" s="91"/>
      <c r="AD790" s="91"/>
      <c r="AE790" s="91"/>
      <c r="AF790" s="91"/>
      <c r="AG790" s="91"/>
      <c r="AH790" s="91"/>
      <c r="AI790" s="91"/>
      <c r="AJ790" s="91"/>
      <c r="AK790" s="91"/>
      <c r="AL790" s="91"/>
      <c r="AM790" s="91"/>
      <c r="AN790" s="91"/>
    </row>
    <row r="791">
      <c r="A791" s="164"/>
      <c r="B791" s="165"/>
      <c r="C791" s="165"/>
      <c r="D791" s="164"/>
      <c r="E791" s="164"/>
      <c r="F791" s="164"/>
      <c r="G791" s="91"/>
      <c r="H791" s="91"/>
      <c r="I791" s="91"/>
      <c r="J791" s="91"/>
      <c r="K791" s="160"/>
      <c r="L791" s="160"/>
      <c r="M791" s="160"/>
      <c r="N791" s="160"/>
      <c r="O791" s="160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  <c r="AC791" s="91"/>
      <c r="AD791" s="91"/>
      <c r="AE791" s="91"/>
      <c r="AF791" s="91"/>
      <c r="AG791" s="91"/>
      <c r="AH791" s="91"/>
      <c r="AI791" s="91"/>
      <c r="AJ791" s="91"/>
      <c r="AK791" s="91"/>
      <c r="AL791" s="91"/>
      <c r="AM791" s="91"/>
      <c r="AN791" s="91"/>
    </row>
    <row r="792">
      <c r="A792" s="164"/>
      <c r="B792" s="165"/>
      <c r="C792" s="165"/>
      <c r="D792" s="164"/>
      <c r="E792" s="164"/>
      <c r="F792" s="164"/>
      <c r="G792" s="91"/>
      <c r="H792" s="91"/>
      <c r="I792" s="91"/>
      <c r="J792" s="91"/>
      <c r="K792" s="160"/>
      <c r="L792" s="160"/>
      <c r="M792" s="160"/>
      <c r="N792" s="160"/>
      <c r="O792" s="160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  <c r="AC792" s="91"/>
      <c r="AD792" s="91"/>
      <c r="AE792" s="91"/>
      <c r="AF792" s="91"/>
      <c r="AG792" s="91"/>
      <c r="AH792" s="91"/>
      <c r="AI792" s="91"/>
      <c r="AJ792" s="91"/>
      <c r="AK792" s="91"/>
      <c r="AL792" s="91"/>
      <c r="AM792" s="91"/>
      <c r="AN792" s="91"/>
    </row>
    <row r="793">
      <c r="A793" s="164"/>
      <c r="B793" s="165"/>
      <c r="C793" s="165"/>
      <c r="D793" s="164"/>
      <c r="E793" s="164"/>
      <c r="F793" s="164"/>
      <c r="G793" s="91"/>
      <c r="H793" s="91"/>
      <c r="I793" s="91"/>
      <c r="J793" s="91"/>
      <c r="K793" s="160"/>
      <c r="L793" s="160"/>
      <c r="M793" s="160"/>
      <c r="N793" s="160"/>
      <c r="O793" s="160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  <c r="AC793" s="91"/>
      <c r="AD793" s="91"/>
      <c r="AE793" s="91"/>
      <c r="AF793" s="91"/>
      <c r="AG793" s="91"/>
      <c r="AH793" s="91"/>
      <c r="AI793" s="91"/>
      <c r="AJ793" s="91"/>
      <c r="AK793" s="91"/>
      <c r="AL793" s="91"/>
      <c r="AM793" s="91"/>
      <c r="AN793" s="91"/>
    </row>
    <row r="794">
      <c r="A794" s="164"/>
      <c r="B794" s="165"/>
      <c r="C794" s="165"/>
      <c r="D794" s="164"/>
      <c r="E794" s="164"/>
      <c r="F794" s="164"/>
      <c r="G794" s="91"/>
      <c r="H794" s="91"/>
      <c r="I794" s="91"/>
      <c r="J794" s="91"/>
      <c r="K794" s="160"/>
      <c r="L794" s="160"/>
      <c r="M794" s="160"/>
      <c r="N794" s="160"/>
      <c r="O794" s="160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  <c r="AC794" s="91"/>
      <c r="AD794" s="91"/>
      <c r="AE794" s="91"/>
      <c r="AF794" s="91"/>
      <c r="AG794" s="91"/>
      <c r="AH794" s="91"/>
      <c r="AI794" s="91"/>
      <c r="AJ794" s="91"/>
      <c r="AK794" s="91"/>
      <c r="AL794" s="91"/>
      <c r="AM794" s="91"/>
      <c r="AN794" s="91"/>
    </row>
    <row r="795">
      <c r="A795" s="164"/>
      <c r="B795" s="165"/>
      <c r="C795" s="165"/>
      <c r="D795" s="164"/>
      <c r="E795" s="164"/>
      <c r="F795" s="164"/>
      <c r="G795" s="91"/>
      <c r="H795" s="91"/>
      <c r="I795" s="91"/>
      <c r="J795" s="91"/>
      <c r="K795" s="160"/>
      <c r="L795" s="160"/>
      <c r="M795" s="160"/>
      <c r="N795" s="160"/>
      <c r="O795" s="160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  <c r="AC795" s="91"/>
      <c r="AD795" s="91"/>
      <c r="AE795" s="91"/>
      <c r="AF795" s="91"/>
      <c r="AG795" s="91"/>
      <c r="AH795" s="91"/>
      <c r="AI795" s="91"/>
      <c r="AJ795" s="91"/>
      <c r="AK795" s="91"/>
      <c r="AL795" s="91"/>
      <c r="AM795" s="91"/>
      <c r="AN795" s="91"/>
    </row>
    <row r="796">
      <c r="A796" s="164"/>
      <c r="B796" s="165"/>
      <c r="C796" s="165"/>
      <c r="D796" s="164"/>
      <c r="E796" s="164"/>
      <c r="F796" s="164"/>
      <c r="G796" s="91"/>
      <c r="H796" s="91"/>
      <c r="I796" s="91"/>
      <c r="J796" s="91"/>
      <c r="K796" s="160"/>
      <c r="L796" s="160"/>
      <c r="M796" s="160"/>
      <c r="N796" s="160"/>
      <c r="O796" s="160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  <c r="AC796" s="91"/>
      <c r="AD796" s="91"/>
      <c r="AE796" s="91"/>
      <c r="AF796" s="91"/>
      <c r="AG796" s="91"/>
      <c r="AH796" s="91"/>
      <c r="AI796" s="91"/>
      <c r="AJ796" s="91"/>
      <c r="AK796" s="91"/>
      <c r="AL796" s="91"/>
      <c r="AM796" s="91"/>
      <c r="AN796" s="91"/>
    </row>
    <row r="797">
      <c r="A797" s="164"/>
      <c r="B797" s="165"/>
      <c r="C797" s="165"/>
      <c r="D797" s="164"/>
      <c r="E797" s="164"/>
      <c r="F797" s="164"/>
      <c r="G797" s="91"/>
      <c r="H797" s="91"/>
      <c r="I797" s="91"/>
      <c r="J797" s="91"/>
      <c r="K797" s="160"/>
      <c r="L797" s="160"/>
      <c r="M797" s="160"/>
      <c r="N797" s="160"/>
      <c r="O797" s="160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  <c r="AC797" s="91"/>
      <c r="AD797" s="91"/>
      <c r="AE797" s="91"/>
      <c r="AF797" s="91"/>
      <c r="AG797" s="91"/>
      <c r="AH797" s="91"/>
      <c r="AI797" s="91"/>
      <c r="AJ797" s="91"/>
      <c r="AK797" s="91"/>
      <c r="AL797" s="91"/>
      <c r="AM797" s="91"/>
      <c r="AN797" s="91"/>
    </row>
    <row r="798">
      <c r="A798" s="164"/>
      <c r="B798" s="165"/>
      <c r="C798" s="165"/>
      <c r="D798" s="164"/>
      <c r="E798" s="164"/>
      <c r="F798" s="164"/>
      <c r="G798" s="91"/>
      <c r="H798" s="91"/>
      <c r="I798" s="91"/>
      <c r="J798" s="91"/>
      <c r="K798" s="160"/>
      <c r="L798" s="160"/>
      <c r="M798" s="160"/>
      <c r="N798" s="160"/>
      <c r="O798" s="160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  <c r="AC798" s="91"/>
      <c r="AD798" s="91"/>
      <c r="AE798" s="91"/>
      <c r="AF798" s="91"/>
      <c r="AG798" s="91"/>
      <c r="AH798" s="91"/>
      <c r="AI798" s="91"/>
      <c r="AJ798" s="91"/>
      <c r="AK798" s="91"/>
      <c r="AL798" s="91"/>
      <c r="AM798" s="91"/>
      <c r="AN798" s="91"/>
    </row>
    <row r="799">
      <c r="A799" s="164"/>
      <c r="B799" s="165"/>
      <c r="C799" s="165"/>
      <c r="D799" s="164"/>
      <c r="E799" s="164"/>
      <c r="F799" s="164"/>
      <c r="G799" s="91"/>
      <c r="H799" s="91"/>
      <c r="I799" s="91"/>
      <c r="J799" s="91"/>
      <c r="K799" s="160"/>
      <c r="L799" s="160"/>
      <c r="M799" s="160"/>
      <c r="N799" s="160"/>
      <c r="O799" s="160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  <c r="AC799" s="91"/>
      <c r="AD799" s="91"/>
      <c r="AE799" s="91"/>
      <c r="AF799" s="91"/>
      <c r="AG799" s="91"/>
      <c r="AH799" s="91"/>
      <c r="AI799" s="91"/>
      <c r="AJ799" s="91"/>
      <c r="AK799" s="91"/>
      <c r="AL799" s="91"/>
      <c r="AM799" s="91"/>
      <c r="AN799" s="91"/>
    </row>
    <row r="800">
      <c r="A800" s="164"/>
      <c r="B800" s="165"/>
      <c r="C800" s="165"/>
      <c r="D800" s="164"/>
      <c r="E800" s="164"/>
      <c r="F800" s="164"/>
      <c r="G800" s="91"/>
      <c r="H800" s="91"/>
      <c r="I800" s="91"/>
      <c r="J800" s="91"/>
      <c r="K800" s="160"/>
      <c r="L800" s="160"/>
      <c r="M800" s="160"/>
      <c r="N800" s="160"/>
      <c r="O800" s="160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  <c r="AC800" s="91"/>
      <c r="AD800" s="91"/>
      <c r="AE800" s="91"/>
      <c r="AF800" s="91"/>
      <c r="AG800" s="91"/>
      <c r="AH800" s="91"/>
      <c r="AI800" s="91"/>
      <c r="AJ800" s="91"/>
      <c r="AK800" s="91"/>
      <c r="AL800" s="91"/>
      <c r="AM800" s="91"/>
      <c r="AN800" s="91"/>
    </row>
    <row r="801">
      <c r="A801" s="164"/>
      <c r="B801" s="165"/>
      <c r="C801" s="165"/>
      <c r="D801" s="164"/>
      <c r="E801" s="164"/>
      <c r="F801" s="164"/>
      <c r="G801" s="91"/>
      <c r="H801" s="91"/>
      <c r="I801" s="91"/>
      <c r="J801" s="91"/>
      <c r="K801" s="160"/>
      <c r="L801" s="160"/>
      <c r="M801" s="160"/>
      <c r="N801" s="160"/>
      <c r="O801" s="160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  <c r="AC801" s="91"/>
      <c r="AD801" s="91"/>
      <c r="AE801" s="91"/>
      <c r="AF801" s="91"/>
      <c r="AG801" s="91"/>
      <c r="AH801" s="91"/>
      <c r="AI801" s="91"/>
      <c r="AJ801" s="91"/>
      <c r="AK801" s="91"/>
      <c r="AL801" s="91"/>
      <c r="AM801" s="91"/>
      <c r="AN801" s="91"/>
    </row>
    <row r="802">
      <c r="A802" s="164"/>
      <c r="B802" s="165"/>
      <c r="C802" s="165"/>
      <c r="D802" s="164"/>
      <c r="E802" s="164"/>
      <c r="F802" s="164"/>
      <c r="G802" s="91"/>
      <c r="H802" s="91"/>
      <c r="I802" s="91"/>
      <c r="J802" s="91"/>
      <c r="K802" s="160"/>
      <c r="L802" s="160"/>
      <c r="M802" s="160"/>
      <c r="N802" s="160"/>
      <c r="O802" s="160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  <c r="AC802" s="91"/>
      <c r="AD802" s="91"/>
      <c r="AE802" s="91"/>
      <c r="AF802" s="91"/>
      <c r="AG802" s="91"/>
      <c r="AH802" s="91"/>
      <c r="AI802" s="91"/>
      <c r="AJ802" s="91"/>
      <c r="AK802" s="91"/>
      <c r="AL802" s="91"/>
      <c r="AM802" s="91"/>
      <c r="AN802" s="91"/>
    </row>
    <row r="803">
      <c r="A803" s="164"/>
      <c r="B803" s="165"/>
      <c r="C803" s="165"/>
      <c r="D803" s="164"/>
      <c r="E803" s="164"/>
      <c r="F803" s="164"/>
      <c r="G803" s="91"/>
      <c r="H803" s="91"/>
      <c r="I803" s="91"/>
      <c r="J803" s="91"/>
      <c r="K803" s="160"/>
      <c r="L803" s="160"/>
      <c r="M803" s="160"/>
      <c r="N803" s="160"/>
      <c r="O803" s="160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  <c r="AC803" s="91"/>
      <c r="AD803" s="91"/>
      <c r="AE803" s="91"/>
      <c r="AF803" s="91"/>
      <c r="AG803" s="91"/>
      <c r="AH803" s="91"/>
      <c r="AI803" s="91"/>
      <c r="AJ803" s="91"/>
      <c r="AK803" s="91"/>
      <c r="AL803" s="91"/>
      <c r="AM803" s="91"/>
      <c r="AN803" s="91"/>
    </row>
    <row r="804">
      <c r="A804" s="164"/>
      <c r="B804" s="165"/>
      <c r="C804" s="165"/>
      <c r="D804" s="164"/>
      <c r="E804" s="164"/>
      <c r="F804" s="164"/>
      <c r="G804" s="91"/>
      <c r="H804" s="91"/>
      <c r="I804" s="91"/>
      <c r="J804" s="91"/>
      <c r="K804" s="160"/>
      <c r="L804" s="160"/>
      <c r="M804" s="160"/>
      <c r="N804" s="160"/>
      <c r="O804" s="160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  <c r="AC804" s="91"/>
      <c r="AD804" s="91"/>
      <c r="AE804" s="91"/>
      <c r="AF804" s="91"/>
      <c r="AG804" s="91"/>
      <c r="AH804" s="91"/>
      <c r="AI804" s="91"/>
      <c r="AJ804" s="91"/>
      <c r="AK804" s="91"/>
      <c r="AL804" s="91"/>
      <c r="AM804" s="91"/>
      <c r="AN804" s="91"/>
    </row>
    <row r="805">
      <c r="A805" s="164"/>
      <c r="B805" s="165"/>
      <c r="C805" s="165"/>
      <c r="D805" s="164"/>
      <c r="E805" s="164"/>
      <c r="F805" s="164"/>
      <c r="G805" s="91"/>
      <c r="H805" s="91"/>
      <c r="I805" s="91"/>
      <c r="J805" s="91"/>
      <c r="K805" s="160"/>
      <c r="L805" s="160"/>
      <c r="M805" s="160"/>
      <c r="N805" s="160"/>
      <c r="O805" s="160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  <c r="AC805" s="91"/>
      <c r="AD805" s="91"/>
      <c r="AE805" s="91"/>
      <c r="AF805" s="91"/>
      <c r="AG805" s="91"/>
      <c r="AH805" s="91"/>
      <c r="AI805" s="91"/>
      <c r="AJ805" s="91"/>
      <c r="AK805" s="91"/>
      <c r="AL805" s="91"/>
      <c r="AM805" s="91"/>
      <c r="AN805" s="91"/>
    </row>
    <row r="806">
      <c r="A806" s="164"/>
      <c r="B806" s="165"/>
      <c r="C806" s="165"/>
      <c r="D806" s="164"/>
      <c r="E806" s="164"/>
      <c r="F806" s="164"/>
      <c r="G806" s="91"/>
      <c r="H806" s="91"/>
      <c r="I806" s="91"/>
      <c r="J806" s="91"/>
      <c r="K806" s="160"/>
      <c r="L806" s="160"/>
      <c r="M806" s="160"/>
      <c r="N806" s="160"/>
      <c r="O806" s="160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  <c r="AC806" s="91"/>
      <c r="AD806" s="91"/>
      <c r="AE806" s="91"/>
      <c r="AF806" s="91"/>
      <c r="AG806" s="91"/>
      <c r="AH806" s="91"/>
      <c r="AI806" s="91"/>
      <c r="AJ806" s="91"/>
      <c r="AK806" s="91"/>
      <c r="AL806" s="91"/>
      <c r="AM806" s="91"/>
      <c r="AN806" s="91"/>
    </row>
    <row r="807">
      <c r="A807" s="164"/>
      <c r="B807" s="165"/>
      <c r="C807" s="165"/>
      <c r="D807" s="164"/>
      <c r="E807" s="164"/>
      <c r="F807" s="164"/>
      <c r="G807" s="91"/>
      <c r="H807" s="91"/>
      <c r="I807" s="91"/>
      <c r="J807" s="91"/>
      <c r="K807" s="160"/>
      <c r="L807" s="160"/>
      <c r="M807" s="160"/>
      <c r="N807" s="160"/>
      <c r="O807" s="160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  <c r="AC807" s="91"/>
      <c r="AD807" s="91"/>
      <c r="AE807" s="91"/>
      <c r="AF807" s="91"/>
      <c r="AG807" s="91"/>
      <c r="AH807" s="91"/>
      <c r="AI807" s="91"/>
      <c r="AJ807" s="91"/>
      <c r="AK807" s="91"/>
      <c r="AL807" s="91"/>
      <c r="AM807" s="91"/>
      <c r="AN807" s="91"/>
    </row>
    <row r="808">
      <c r="A808" s="164"/>
      <c r="B808" s="165"/>
      <c r="C808" s="165"/>
      <c r="D808" s="164"/>
      <c r="E808" s="164"/>
      <c r="F808" s="164"/>
      <c r="G808" s="91"/>
      <c r="H808" s="91"/>
      <c r="I808" s="91"/>
      <c r="J808" s="91"/>
      <c r="K808" s="160"/>
      <c r="L808" s="160"/>
      <c r="M808" s="160"/>
      <c r="N808" s="160"/>
      <c r="O808" s="160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  <c r="AC808" s="91"/>
      <c r="AD808" s="91"/>
      <c r="AE808" s="91"/>
      <c r="AF808" s="91"/>
      <c r="AG808" s="91"/>
      <c r="AH808" s="91"/>
      <c r="AI808" s="91"/>
      <c r="AJ808" s="91"/>
      <c r="AK808" s="91"/>
      <c r="AL808" s="91"/>
      <c r="AM808" s="91"/>
      <c r="AN808" s="91"/>
    </row>
    <row r="809">
      <c r="A809" s="164"/>
      <c r="B809" s="165"/>
      <c r="C809" s="165"/>
      <c r="D809" s="164"/>
      <c r="E809" s="164"/>
      <c r="F809" s="164"/>
      <c r="G809" s="91"/>
      <c r="H809" s="91"/>
      <c r="I809" s="91"/>
      <c r="J809" s="91"/>
      <c r="K809" s="160"/>
      <c r="L809" s="160"/>
      <c r="M809" s="160"/>
      <c r="N809" s="160"/>
      <c r="O809" s="160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  <c r="AC809" s="91"/>
      <c r="AD809" s="91"/>
      <c r="AE809" s="91"/>
      <c r="AF809" s="91"/>
      <c r="AG809" s="91"/>
      <c r="AH809" s="91"/>
      <c r="AI809" s="91"/>
      <c r="AJ809" s="91"/>
      <c r="AK809" s="91"/>
      <c r="AL809" s="91"/>
      <c r="AM809" s="91"/>
      <c r="AN809" s="91"/>
    </row>
    <row r="810">
      <c r="A810" s="164"/>
      <c r="B810" s="165"/>
      <c r="C810" s="165"/>
      <c r="D810" s="164"/>
      <c r="E810" s="164"/>
      <c r="F810" s="164"/>
      <c r="G810" s="91"/>
      <c r="H810" s="91"/>
      <c r="I810" s="91"/>
      <c r="J810" s="91"/>
      <c r="K810" s="160"/>
      <c r="L810" s="160"/>
      <c r="M810" s="160"/>
      <c r="N810" s="160"/>
      <c r="O810" s="160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  <c r="AC810" s="91"/>
      <c r="AD810" s="91"/>
      <c r="AE810" s="91"/>
      <c r="AF810" s="91"/>
      <c r="AG810" s="91"/>
      <c r="AH810" s="91"/>
      <c r="AI810" s="91"/>
      <c r="AJ810" s="91"/>
      <c r="AK810" s="91"/>
      <c r="AL810" s="91"/>
      <c r="AM810" s="91"/>
      <c r="AN810" s="91"/>
    </row>
    <row r="811">
      <c r="A811" s="164"/>
      <c r="B811" s="165"/>
      <c r="C811" s="165"/>
      <c r="D811" s="164"/>
      <c r="E811" s="164"/>
      <c r="F811" s="164"/>
      <c r="G811" s="91"/>
      <c r="H811" s="91"/>
      <c r="I811" s="91"/>
      <c r="J811" s="91"/>
      <c r="K811" s="160"/>
      <c r="L811" s="160"/>
      <c r="M811" s="160"/>
      <c r="N811" s="160"/>
      <c r="O811" s="160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  <c r="AC811" s="91"/>
      <c r="AD811" s="91"/>
      <c r="AE811" s="91"/>
      <c r="AF811" s="91"/>
      <c r="AG811" s="91"/>
      <c r="AH811" s="91"/>
      <c r="AI811" s="91"/>
      <c r="AJ811" s="91"/>
      <c r="AK811" s="91"/>
      <c r="AL811" s="91"/>
      <c r="AM811" s="91"/>
      <c r="AN811" s="91"/>
    </row>
    <row r="812">
      <c r="A812" s="164"/>
      <c r="B812" s="165"/>
      <c r="C812" s="165"/>
      <c r="D812" s="164"/>
      <c r="E812" s="164"/>
      <c r="F812" s="164"/>
      <c r="G812" s="91"/>
      <c r="H812" s="91"/>
      <c r="I812" s="91"/>
      <c r="J812" s="91"/>
      <c r="K812" s="160"/>
      <c r="L812" s="160"/>
      <c r="M812" s="160"/>
      <c r="N812" s="160"/>
      <c r="O812" s="160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  <c r="AC812" s="91"/>
      <c r="AD812" s="91"/>
      <c r="AE812" s="91"/>
      <c r="AF812" s="91"/>
      <c r="AG812" s="91"/>
      <c r="AH812" s="91"/>
      <c r="AI812" s="91"/>
      <c r="AJ812" s="91"/>
      <c r="AK812" s="91"/>
      <c r="AL812" s="91"/>
      <c r="AM812" s="91"/>
      <c r="AN812" s="91"/>
    </row>
    <row r="813">
      <c r="A813" s="164"/>
      <c r="B813" s="165"/>
      <c r="C813" s="165"/>
      <c r="D813" s="164"/>
      <c r="E813" s="164"/>
      <c r="F813" s="164"/>
      <c r="G813" s="91"/>
      <c r="H813" s="91"/>
      <c r="I813" s="91"/>
      <c r="J813" s="91"/>
      <c r="K813" s="160"/>
      <c r="L813" s="160"/>
      <c r="M813" s="160"/>
      <c r="N813" s="160"/>
      <c r="O813" s="160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  <c r="AC813" s="91"/>
      <c r="AD813" s="91"/>
      <c r="AE813" s="91"/>
      <c r="AF813" s="91"/>
      <c r="AG813" s="91"/>
      <c r="AH813" s="91"/>
      <c r="AI813" s="91"/>
      <c r="AJ813" s="91"/>
      <c r="AK813" s="91"/>
      <c r="AL813" s="91"/>
      <c r="AM813" s="91"/>
      <c r="AN813" s="91"/>
    </row>
    <row r="814">
      <c r="A814" s="164"/>
      <c r="B814" s="165"/>
      <c r="C814" s="165"/>
      <c r="D814" s="164"/>
      <c r="E814" s="164"/>
      <c r="F814" s="164"/>
      <c r="G814" s="91"/>
      <c r="H814" s="91"/>
      <c r="I814" s="91"/>
      <c r="J814" s="91"/>
      <c r="K814" s="160"/>
      <c r="L814" s="160"/>
      <c r="M814" s="160"/>
      <c r="N814" s="160"/>
      <c r="O814" s="160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  <c r="AC814" s="91"/>
      <c r="AD814" s="91"/>
      <c r="AE814" s="91"/>
      <c r="AF814" s="91"/>
      <c r="AG814" s="91"/>
      <c r="AH814" s="91"/>
      <c r="AI814" s="91"/>
      <c r="AJ814" s="91"/>
      <c r="AK814" s="91"/>
      <c r="AL814" s="91"/>
      <c r="AM814" s="91"/>
      <c r="AN814" s="91"/>
    </row>
    <row r="815">
      <c r="A815" s="164"/>
      <c r="B815" s="165"/>
      <c r="C815" s="165"/>
      <c r="D815" s="164"/>
      <c r="E815" s="164"/>
      <c r="F815" s="164"/>
      <c r="G815" s="91"/>
      <c r="H815" s="91"/>
      <c r="I815" s="91"/>
      <c r="J815" s="91"/>
      <c r="K815" s="160"/>
      <c r="L815" s="160"/>
      <c r="M815" s="160"/>
      <c r="N815" s="160"/>
      <c r="O815" s="160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  <c r="AC815" s="91"/>
      <c r="AD815" s="91"/>
      <c r="AE815" s="91"/>
      <c r="AF815" s="91"/>
      <c r="AG815" s="91"/>
      <c r="AH815" s="91"/>
      <c r="AI815" s="91"/>
      <c r="AJ815" s="91"/>
      <c r="AK815" s="91"/>
      <c r="AL815" s="91"/>
      <c r="AM815" s="91"/>
      <c r="AN815" s="91"/>
    </row>
    <row r="816">
      <c r="A816" s="164"/>
      <c r="B816" s="165"/>
      <c r="C816" s="165"/>
      <c r="D816" s="164"/>
      <c r="E816" s="164"/>
      <c r="F816" s="164"/>
      <c r="G816" s="91"/>
      <c r="H816" s="91"/>
      <c r="I816" s="91"/>
      <c r="J816" s="91"/>
      <c r="K816" s="160"/>
      <c r="L816" s="160"/>
      <c r="M816" s="160"/>
      <c r="N816" s="160"/>
      <c r="O816" s="160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  <c r="AC816" s="91"/>
      <c r="AD816" s="91"/>
      <c r="AE816" s="91"/>
      <c r="AF816" s="91"/>
      <c r="AG816" s="91"/>
      <c r="AH816" s="91"/>
      <c r="AI816" s="91"/>
      <c r="AJ816" s="91"/>
      <c r="AK816" s="91"/>
      <c r="AL816" s="91"/>
      <c r="AM816" s="91"/>
      <c r="AN816" s="91"/>
    </row>
    <row r="817">
      <c r="A817" s="164"/>
      <c r="B817" s="165"/>
      <c r="C817" s="165"/>
      <c r="D817" s="164"/>
      <c r="E817" s="164"/>
      <c r="F817" s="164"/>
      <c r="G817" s="91"/>
      <c r="H817" s="91"/>
      <c r="I817" s="91"/>
      <c r="J817" s="91"/>
      <c r="K817" s="160"/>
      <c r="L817" s="160"/>
      <c r="M817" s="160"/>
      <c r="N817" s="160"/>
      <c r="O817" s="160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  <c r="AC817" s="91"/>
      <c r="AD817" s="91"/>
      <c r="AE817" s="91"/>
      <c r="AF817" s="91"/>
      <c r="AG817" s="91"/>
      <c r="AH817" s="91"/>
      <c r="AI817" s="91"/>
      <c r="AJ817" s="91"/>
      <c r="AK817" s="91"/>
      <c r="AL817" s="91"/>
      <c r="AM817" s="91"/>
      <c r="AN817" s="91"/>
    </row>
    <row r="818">
      <c r="A818" s="164"/>
      <c r="B818" s="165"/>
      <c r="C818" s="165"/>
      <c r="D818" s="164"/>
      <c r="E818" s="164"/>
      <c r="F818" s="164"/>
      <c r="G818" s="91"/>
      <c r="H818" s="91"/>
      <c r="I818" s="91"/>
      <c r="J818" s="91"/>
      <c r="K818" s="160"/>
      <c r="L818" s="160"/>
      <c r="M818" s="160"/>
      <c r="N818" s="160"/>
      <c r="O818" s="160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  <c r="AC818" s="91"/>
      <c r="AD818" s="91"/>
      <c r="AE818" s="91"/>
      <c r="AF818" s="91"/>
      <c r="AG818" s="91"/>
      <c r="AH818" s="91"/>
      <c r="AI818" s="91"/>
      <c r="AJ818" s="91"/>
      <c r="AK818" s="91"/>
      <c r="AL818" s="91"/>
      <c r="AM818" s="91"/>
      <c r="AN818" s="91"/>
    </row>
    <row r="819">
      <c r="A819" s="164"/>
      <c r="B819" s="165"/>
      <c r="C819" s="165"/>
      <c r="D819" s="164"/>
      <c r="E819" s="164"/>
      <c r="F819" s="164"/>
      <c r="G819" s="91"/>
      <c r="H819" s="91"/>
      <c r="I819" s="91"/>
      <c r="J819" s="91"/>
      <c r="K819" s="160"/>
      <c r="L819" s="160"/>
      <c r="M819" s="160"/>
      <c r="N819" s="160"/>
      <c r="O819" s="160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  <c r="AC819" s="91"/>
      <c r="AD819" s="91"/>
      <c r="AE819" s="91"/>
      <c r="AF819" s="91"/>
      <c r="AG819" s="91"/>
      <c r="AH819" s="91"/>
      <c r="AI819" s="91"/>
      <c r="AJ819" s="91"/>
      <c r="AK819" s="91"/>
      <c r="AL819" s="91"/>
      <c r="AM819" s="91"/>
      <c r="AN819" s="91"/>
    </row>
    <row r="820">
      <c r="A820" s="164"/>
      <c r="B820" s="165"/>
      <c r="C820" s="165"/>
      <c r="D820" s="164"/>
      <c r="E820" s="164"/>
      <c r="F820" s="164"/>
      <c r="G820" s="91"/>
      <c r="H820" s="91"/>
      <c r="I820" s="91"/>
      <c r="J820" s="91"/>
      <c r="K820" s="160"/>
      <c r="L820" s="160"/>
      <c r="M820" s="160"/>
      <c r="N820" s="160"/>
      <c r="O820" s="160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  <c r="AC820" s="91"/>
      <c r="AD820" s="91"/>
      <c r="AE820" s="91"/>
      <c r="AF820" s="91"/>
      <c r="AG820" s="91"/>
      <c r="AH820" s="91"/>
      <c r="AI820" s="91"/>
      <c r="AJ820" s="91"/>
      <c r="AK820" s="91"/>
      <c r="AL820" s="91"/>
      <c r="AM820" s="91"/>
      <c r="AN820" s="91"/>
    </row>
    <row r="821">
      <c r="A821" s="164"/>
      <c r="B821" s="165"/>
      <c r="C821" s="165"/>
      <c r="D821" s="164"/>
      <c r="E821" s="164"/>
      <c r="F821" s="164"/>
      <c r="G821" s="91"/>
      <c r="H821" s="91"/>
      <c r="I821" s="91"/>
      <c r="J821" s="91"/>
      <c r="K821" s="160"/>
      <c r="L821" s="160"/>
      <c r="M821" s="160"/>
      <c r="N821" s="160"/>
      <c r="O821" s="160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  <c r="AC821" s="91"/>
      <c r="AD821" s="91"/>
      <c r="AE821" s="91"/>
      <c r="AF821" s="91"/>
      <c r="AG821" s="91"/>
      <c r="AH821" s="91"/>
      <c r="AI821" s="91"/>
      <c r="AJ821" s="91"/>
      <c r="AK821" s="91"/>
      <c r="AL821" s="91"/>
      <c r="AM821" s="91"/>
      <c r="AN821" s="91"/>
    </row>
    <row r="822">
      <c r="A822" s="164"/>
      <c r="B822" s="165"/>
      <c r="C822" s="165"/>
      <c r="D822" s="164"/>
      <c r="E822" s="164"/>
      <c r="F822" s="164"/>
      <c r="G822" s="91"/>
      <c r="H822" s="91"/>
      <c r="I822" s="91"/>
      <c r="J822" s="91"/>
      <c r="K822" s="160"/>
      <c r="L822" s="160"/>
      <c r="M822" s="160"/>
      <c r="N822" s="160"/>
      <c r="O822" s="160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  <c r="AC822" s="91"/>
      <c r="AD822" s="91"/>
      <c r="AE822" s="91"/>
      <c r="AF822" s="91"/>
      <c r="AG822" s="91"/>
      <c r="AH822" s="91"/>
      <c r="AI822" s="91"/>
      <c r="AJ822" s="91"/>
      <c r="AK822" s="91"/>
      <c r="AL822" s="91"/>
      <c r="AM822" s="91"/>
      <c r="AN822" s="91"/>
    </row>
    <row r="823">
      <c r="A823" s="164"/>
      <c r="B823" s="165"/>
      <c r="C823" s="165"/>
      <c r="D823" s="164"/>
      <c r="E823" s="164"/>
      <c r="F823" s="164"/>
      <c r="G823" s="91"/>
      <c r="H823" s="91"/>
      <c r="I823" s="91"/>
      <c r="J823" s="91"/>
      <c r="K823" s="160"/>
      <c r="L823" s="160"/>
      <c r="M823" s="160"/>
      <c r="N823" s="160"/>
      <c r="O823" s="160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  <c r="AC823" s="91"/>
      <c r="AD823" s="91"/>
      <c r="AE823" s="91"/>
      <c r="AF823" s="91"/>
      <c r="AG823" s="91"/>
      <c r="AH823" s="91"/>
      <c r="AI823" s="91"/>
      <c r="AJ823" s="91"/>
      <c r="AK823" s="91"/>
      <c r="AL823" s="91"/>
      <c r="AM823" s="91"/>
      <c r="AN823" s="91"/>
    </row>
    <row r="824">
      <c r="A824" s="164"/>
      <c r="B824" s="165"/>
      <c r="C824" s="165"/>
      <c r="D824" s="164"/>
      <c r="E824" s="164"/>
      <c r="F824" s="164"/>
      <c r="G824" s="91"/>
      <c r="H824" s="91"/>
      <c r="I824" s="91"/>
      <c r="J824" s="91"/>
      <c r="K824" s="160"/>
      <c r="L824" s="160"/>
      <c r="M824" s="160"/>
      <c r="N824" s="160"/>
      <c r="O824" s="160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  <c r="AC824" s="91"/>
      <c r="AD824" s="91"/>
      <c r="AE824" s="91"/>
      <c r="AF824" s="91"/>
      <c r="AG824" s="91"/>
      <c r="AH824" s="91"/>
      <c r="AI824" s="91"/>
      <c r="AJ824" s="91"/>
      <c r="AK824" s="91"/>
      <c r="AL824" s="91"/>
      <c r="AM824" s="91"/>
      <c r="AN824" s="91"/>
    </row>
    <row r="825">
      <c r="A825" s="164"/>
      <c r="B825" s="165"/>
      <c r="C825" s="165"/>
      <c r="D825" s="164"/>
      <c r="E825" s="164"/>
      <c r="F825" s="164"/>
      <c r="G825" s="91"/>
      <c r="H825" s="91"/>
      <c r="I825" s="91"/>
      <c r="J825" s="91"/>
      <c r="K825" s="160"/>
      <c r="L825" s="160"/>
      <c r="M825" s="160"/>
      <c r="N825" s="160"/>
      <c r="O825" s="160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  <c r="AC825" s="91"/>
      <c r="AD825" s="91"/>
      <c r="AE825" s="91"/>
      <c r="AF825" s="91"/>
      <c r="AG825" s="91"/>
      <c r="AH825" s="91"/>
      <c r="AI825" s="91"/>
      <c r="AJ825" s="91"/>
      <c r="AK825" s="91"/>
      <c r="AL825" s="91"/>
      <c r="AM825" s="91"/>
      <c r="AN825" s="91"/>
    </row>
    <row r="826">
      <c r="A826" s="164"/>
      <c r="B826" s="165"/>
      <c r="C826" s="165"/>
      <c r="D826" s="164"/>
      <c r="E826" s="164"/>
      <c r="F826" s="164"/>
      <c r="G826" s="91"/>
      <c r="H826" s="91"/>
      <c r="I826" s="91"/>
      <c r="J826" s="91"/>
      <c r="K826" s="160"/>
      <c r="L826" s="160"/>
      <c r="M826" s="160"/>
      <c r="N826" s="160"/>
      <c r="O826" s="160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  <c r="AC826" s="91"/>
      <c r="AD826" s="91"/>
      <c r="AE826" s="91"/>
      <c r="AF826" s="91"/>
      <c r="AG826" s="91"/>
      <c r="AH826" s="91"/>
      <c r="AI826" s="91"/>
      <c r="AJ826" s="91"/>
      <c r="AK826" s="91"/>
      <c r="AL826" s="91"/>
      <c r="AM826" s="91"/>
      <c r="AN826" s="91"/>
    </row>
    <row r="827">
      <c r="A827" s="164"/>
      <c r="B827" s="165"/>
      <c r="C827" s="165"/>
      <c r="D827" s="164"/>
      <c r="E827" s="164"/>
      <c r="F827" s="164"/>
      <c r="G827" s="91"/>
      <c r="H827" s="91"/>
      <c r="I827" s="91"/>
      <c r="J827" s="91"/>
      <c r="K827" s="160"/>
      <c r="L827" s="160"/>
      <c r="M827" s="160"/>
      <c r="N827" s="160"/>
      <c r="O827" s="160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  <c r="AC827" s="91"/>
      <c r="AD827" s="91"/>
      <c r="AE827" s="91"/>
      <c r="AF827" s="91"/>
      <c r="AG827" s="91"/>
      <c r="AH827" s="91"/>
      <c r="AI827" s="91"/>
      <c r="AJ827" s="91"/>
      <c r="AK827" s="91"/>
      <c r="AL827" s="91"/>
      <c r="AM827" s="91"/>
      <c r="AN827" s="91"/>
    </row>
    <row r="828">
      <c r="A828" s="164"/>
      <c r="B828" s="165"/>
      <c r="C828" s="165"/>
      <c r="D828" s="164"/>
      <c r="E828" s="164"/>
      <c r="F828" s="164"/>
      <c r="G828" s="91"/>
      <c r="H828" s="91"/>
      <c r="I828" s="91"/>
      <c r="J828" s="91"/>
      <c r="K828" s="160"/>
      <c r="L828" s="160"/>
      <c r="M828" s="160"/>
      <c r="N828" s="160"/>
      <c r="O828" s="160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  <c r="AC828" s="91"/>
      <c r="AD828" s="91"/>
      <c r="AE828" s="91"/>
      <c r="AF828" s="91"/>
      <c r="AG828" s="91"/>
      <c r="AH828" s="91"/>
      <c r="AI828" s="91"/>
      <c r="AJ828" s="91"/>
      <c r="AK828" s="91"/>
      <c r="AL828" s="91"/>
      <c r="AM828" s="91"/>
      <c r="AN828" s="91"/>
    </row>
    <row r="829">
      <c r="A829" s="164"/>
      <c r="B829" s="165"/>
      <c r="C829" s="165"/>
      <c r="D829" s="164"/>
      <c r="E829" s="164"/>
      <c r="F829" s="164"/>
      <c r="G829" s="91"/>
      <c r="H829" s="91"/>
      <c r="I829" s="91"/>
      <c r="J829" s="91"/>
      <c r="K829" s="160"/>
      <c r="L829" s="160"/>
      <c r="M829" s="160"/>
      <c r="N829" s="160"/>
      <c r="O829" s="160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  <c r="AC829" s="91"/>
      <c r="AD829" s="91"/>
      <c r="AE829" s="91"/>
      <c r="AF829" s="91"/>
      <c r="AG829" s="91"/>
      <c r="AH829" s="91"/>
      <c r="AI829" s="91"/>
      <c r="AJ829" s="91"/>
      <c r="AK829" s="91"/>
      <c r="AL829" s="91"/>
      <c r="AM829" s="91"/>
      <c r="AN829" s="91"/>
    </row>
    <row r="830">
      <c r="A830" s="164"/>
      <c r="B830" s="165"/>
      <c r="C830" s="165"/>
      <c r="D830" s="164"/>
      <c r="E830" s="164"/>
      <c r="F830" s="164"/>
      <c r="G830" s="91"/>
      <c r="H830" s="91"/>
      <c r="I830" s="91"/>
      <c r="J830" s="91"/>
      <c r="K830" s="160"/>
      <c r="L830" s="160"/>
      <c r="M830" s="160"/>
      <c r="N830" s="160"/>
      <c r="O830" s="160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  <c r="AC830" s="91"/>
      <c r="AD830" s="91"/>
      <c r="AE830" s="91"/>
      <c r="AF830" s="91"/>
      <c r="AG830" s="91"/>
      <c r="AH830" s="91"/>
      <c r="AI830" s="91"/>
      <c r="AJ830" s="91"/>
      <c r="AK830" s="91"/>
      <c r="AL830" s="91"/>
      <c r="AM830" s="91"/>
      <c r="AN830" s="91"/>
    </row>
    <row r="831">
      <c r="A831" s="164"/>
      <c r="B831" s="165"/>
      <c r="C831" s="165"/>
      <c r="D831" s="164"/>
      <c r="E831" s="164"/>
      <c r="F831" s="164"/>
      <c r="G831" s="91"/>
      <c r="H831" s="91"/>
      <c r="I831" s="91"/>
      <c r="J831" s="91"/>
      <c r="K831" s="160"/>
      <c r="L831" s="160"/>
      <c r="M831" s="160"/>
      <c r="N831" s="160"/>
      <c r="O831" s="160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  <c r="AC831" s="91"/>
      <c r="AD831" s="91"/>
      <c r="AE831" s="91"/>
      <c r="AF831" s="91"/>
      <c r="AG831" s="91"/>
      <c r="AH831" s="91"/>
      <c r="AI831" s="91"/>
      <c r="AJ831" s="91"/>
      <c r="AK831" s="91"/>
      <c r="AL831" s="91"/>
      <c r="AM831" s="91"/>
      <c r="AN831" s="91"/>
    </row>
    <row r="832">
      <c r="A832" s="164"/>
      <c r="B832" s="165"/>
      <c r="C832" s="165"/>
      <c r="D832" s="164"/>
      <c r="E832" s="164"/>
      <c r="F832" s="164"/>
      <c r="G832" s="91"/>
      <c r="H832" s="91"/>
      <c r="I832" s="91"/>
      <c r="J832" s="91"/>
      <c r="K832" s="160"/>
      <c r="L832" s="160"/>
      <c r="M832" s="160"/>
      <c r="N832" s="160"/>
      <c r="O832" s="160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  <c r="AC832" s="91"/>
      <c r="AD832" s="91"/>
      <c r="AE832" s="91"/>
      <c r="AF832" s="91"/>
      <c r="AG832" s="91"/>
      <c r="AH832" s="91"/>
      <c r="AI832" s="91"/>
      <c r="AJ832" s="91"/>
      <c r="AK832" s="91"/>
      <c r="AL832" s="91"/>
      <c r="AM832" s="91"/>
      <c r="AN832" s="91"/>
    </row>
    <row r="833">
      <c r="A833" s="164"/>
      <c r="B833" s="165"/>
      <c r="C833" s="165"/>
      <c r="D833" s="164"/>
      <c r="E833" s="164"/>
      <c r="F833" s="164"/>
      <c r="G833" s="91"/>
      <c r="H833" s="91"/>
      <c r="I833" s="91"/>
      <c r="J833" s="91"/>
      <c r="K833" s="160"/>
      <c r="L833" s="160"/>
      <c r="M833" s="160"/>
      <c r="N833" s="160"/>
      <c r="O833" s="160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  <c r="AC833" s="91"/>
      <c r="AD833" s="91"/>
      <c r="AE833" s="91"/>
      <c r="AF833" s="91"/>
      <c r="AG833" s="91"/>
      <c r="AH833" s="91"/>
      <c r="AI833" s="91"/>
      <c r="AJ833" s="91"/>
      <c r="AK833" s="91"/>
      <c r="AL833" s="91"/>
      <c r="AM833" s="91"/>
      <c r="AN833" s="91"/>
    </row>
    <row r="834">
      <c r="A834" s="164"/>
      <c r="B834" s="165"/>
      <c r="C834" s="165"/>
      <c r="D834" s="164"/>
      <c r="E834" s="164"/>
      <c r="F834" s="164"/>
      <c r="G834" s="91"/>
      <c r="H834" s="91"/>
      <c r="I834" s="91"/>
      <c r="J834" s="91"/>
      <c r="K834" s="160"/>
      <c r="L834" s="160"/>
      <c r="M834" s="160"/>
      <c r="N834" s="160"/>
      <c r="O834" s="160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  <c r="AC834" s="91"/>
      <c r="AD834" s="91"/>
      <c r="AE834" s="91"/>
      <c r="AF834" s="91"/>
      <c r="AG834" s="91"/>
      <c r="AH834" s="91"/>
      <c r="AI834" s="91"/>
      <c r="AJ834" s="91"/>
      <c r="AK834" s="91"/>
      <c r="AL834" s="91"/>
      <c r="AM834" s="91"/>
      <c r="AN834" s="91"/>
    </row>
    <row r="835">
      <c r="A835" s="164"/>
      <c r="B835" s="165"/>
      <c r="C835" s="165"/>
      <c r="D835" s="164"/>
      <c r="E835" s="164"/>
      <c r="F835" s="164"/>
      <c r="G835" s="91"/>
      <c r="H835" s="91"/>
      <c r="I835" s="91"/>
      <c r="J835" s="91"/>
      <c r="K835" s="160"/>
      <c r="L835" s="160"/>
      <c r="M835" s="160"/>
      <c r="N835" s="160"/>
      <c r="O835" s="160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  <c r="AC835" s="91"/>
      <c r="AD835" s="91"/>
      <c r="AE835" s="91"/>
      <c r="AF835" s="91"/>
      <c r="AG835" s="91"/>
      <c r="AH835" s="91"/>
      <c r="AI835" s="91"/>
      <c r="AJ835" s="91"/>
      <c r="AK835" s="91"/>
      <c r="AL835" s="91"/>
      <c r="AM835" s="91"/>
      <c r="AN835" s="91"/>
    </row>
    <row r="836">
      <c r="A836" s="164"/>
      <c r="B836" s="165"/>
      <c r="C836" s="165"/>
      <c r="D836" s="164"/>
      <c r="E836" s="164"/>
      <c r="F836" s="164"/>
      <c r="G836" s="91"/>
      <c r="H836" s="91"/>
      <c r="I836" s="91"/>
      <c r="J836" s="91"/>
      <c r="K836" s="160"/>
      <c r="L836" s="160"/>
      <c r="M836" s="160"/>
      <c r="N836" s="160"/>
      <c r="O836" s="160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  <c r="AC836" s="91"/>
      <c r="AD836" s="91"/>
      <c r="AE836" s="91"/>
      <c r="AF836" s="91"/>
      <c r="AG836" s="91"/>
      <c r="AH836" s="91"/>
      <c r="AI836" s="91"/>
      <c r="AJ836" s="91"/>
      <c r="AK836" s="91"/>
      <c r="AL836" s="91"/>
      <c r="AM836" s="91"/>
      <c r="AN836" s="91"/>
    </row>
    <row r="837">
      <c r="A837" s="164"/>
      <c r="B837" s="165"/>
      <c r="C837" s="165"/>
      <c r="D837" s="164"/>
      <c r="E837" s="164"/>
      <c r="F837" s="164"/>
      <c r="G837" s="91"/>
      <c r="H837" s="91"/>
      <c r="I837" s="91"/>
      <c r="J837" s="91"/>
      <c r="K837" s="160"/>
      <c r="L837" s="160"/>
      <c r="M837" s="160"/>
      <c r="N837" s="160"/>
      <c r="O837" s="160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  <c r="AC837" s="91"/>
      <c r="AD837" s="91"/>
      <c r="AE837" s="91"/>
      <c r="AF837" s="91"/>
      <c r="AG837" s="91"/>
      <c r="AH837" s="91"/>
      <c r="AI837" s="91"/>
      <c r="AJ837" s="91"/>
      <c r="AK837" s="91"/>
      <c r="AL837" s="91"/>
      <c r="AM837" s="91"/>
      <c r="AN837" s="91"/>
    </row>
    <row r="838">
      <c r="A838" s="164"/>
      <c r="B838" s="165"/>
      <c r="C838" s="165"/>
      <c r="D838" s="164"/>
      <c r="E838" s="164"/>
      <c r="F838" s="164"/>
      <c r="G838" s="91"/>
      <c r="H838" s="91"/>
      <c r="I838" s="91"/>
      <c r="J838" s="91"/>
      <c r="K838" s="160"/>
      <c r="L838" s="160"/>
      <c r="M838" s="160"/>
      <c r="N838" s="160"/>
      <c r="O838" s="160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  <c r="AC838" s="91"/>
      <c r="AD838" s="91"/>
      <c r="AE838" s="91"/>
      <c r="AF838" s="91"/>
      <c r="AG838" s="91"/>
      <c r="AH838" s="91"/>
      <c r="AI838" s="91"/>
      <c r="AJ838" s="91"/>
      <c r="AK838" s="91"/>
      <c r="AL838" s="91"/>
      <c r="AM838" s="91"/>
      <c r="AN838" s="91"/>
    </row>
    <row r="839">
      <c r="A839" s="164"/>
      <c r="B839" s="165"/>
      <c r="C839" s="165"/>
      <c r="D839" s="164"/>
      <c r="E839" s="164"/>
      <c r="F839" s="164"/>
      <c r="G839" s="91"/>
      <c r="H839" s="91"/>
      <c r="I839" s="91"/>
      <c r="J839" s="91"/>
      <c r="K839" s="160"/>
      <c r="L839" s="160"/>
      <c r="M839" s="160"/>
      <c r="N839" s="160"/>
      <c r="O839" s="160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  <c r="AC839" s="91"/>
      <c r="AD839" s="91"/>
      <c r="AE839" s="91"/>
      <c r="AF839" s="91"/>
      <c r="AG839" s="91"/>
      <c r="AH839" s="91"/>
      <c r="AI839" s="91"/>
      <c r="AJ839" s="91"/>
      <c r="AK839" s="91"/>
      <c r="AL839" s="91"/>
      <c r="AM839" s="91"/>
      <c r="AN839" s="91"/>
    </row>
    <row r="840">
      <c r="A840" s="164"/>
      <c r="B840" s="165"/>
      <c r="C840" s="165"/>
      <c r="D840" s="164"/>
      <c r="E840" s="164"/>
      <c r="F840" s="164"/>
      <c r="G840" s="91"/>
      <c r="H840" s="91"/>
      <c r="I840" s="91"/>
      <c r="J840" s="91"/>
      <c r="K840" s="160"/>
      <c r="L840" s="160"/>
      <c r="M840" s="160"/>
      <c r="N840" s="160"/>
      <c r="O840" s="160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  <c r="AC840" s="91"/>
      <c r="AD840" s="91"/>
      <c r="AE840" s="91"/>
      <c r="AF840" s="91"/>
      <c r="AG840" s="91"/>
      <c r="AH840" s="91"/>
      <c r="AI840" s="91"/>
      <c r="AJ840" s="91"/>
      <c r="AK840" s="91"/>
      <c r="AL840" s="91"/>
      <c r="AM840" s="91"/>
      <c r="AN840" s="91"/>
    </row>
    <row r="841">
      <c r="A841" s="164"/>
      <c r="B841" s="165"/>
      <c r="C841" s="165"/>
      <c r="D841" s="164"/>
      <c r="E841" s="164"/>
      <c r="F841" s="164"/>
      <c r="G841" s="91"/>
      <c r="H841" s="91"/>
      <c r="I841" s="91"/>
      <c r="J841" s="91"/>
      <c r="K841" s="160"/>
      <c r="L841" s="160"/>
      <c r="M841" s="160"/>
      <c r="N841" s="160"/>
      <c r="O841" s="160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  <c r="AC841" s="91"/>
      <c r="AD841" s="91"/>
      <c r="AE841" s="91"/>
      <c r="AF841" s="91"/>
      <c r="AG841" s="91"/>
      <c r="AH841" s="91"/>
      <c r="AI841" s="91"/>
      <c r="AJ841" s="91"/>
      <c r="AK841" s="91"/>
      <c r="AL841" s="91"/>
      <c r="AM841" s="91"/>
      <c r="AN841" s="91"/>
    </row>
    <row r="842">
      <c r="A842" s="164"/>
      <c r="B842" s="165"/>
      <c r="C842" s="165"/>
      <c r="D842" s="164"/>
      <c r="E842" s="164"/>
      <c r="F842" s="164"/>
      <c r="G842" s="91"/>
      <c r="H842" s="91"/>
      <c r="I842" s="91"/>
      <c r="J842" s="91"/>
      <c r="K842" s="160"/>
      <c r="L842" s="160"/>
      <c r="M842" s="160"/>
      <c r="N842" s="160"/>
      <c r="O842" s="160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  <c r="AC842" s="91"/>
      <c r="AD842" s="91"/>
      <c r="AE842" s="91"/>
      <c r="AF842" s="91"/>
      <c r="AG842" s="91"/>
      <c r="AH842" s="91"/>
      <c r="AI842" s="91"/>
      <c r="AJ842" s="91"/>
      <c r="AK842" s="91"/>
      <c r="AL842" s="91"/>
      <c r="AM842" s="91"/>
      <c r="AN842" s="91"/>
    </row>
    <row r="843">
      <c r="A843" s="164"/>
      <c r="B843" s="165"/>
      <c r="C843" s="165"/>
      <c r="D843" s="164"/>
      <c r="E843" s="164"/>
      <c r="F843" s="164"/>
      <c r="G843" s="91"/>
      <c r="H843" s="91"/>
      <c r="I843" s="91"/>
      <c r="J843" s="91"/>
      <c r="K843" s="160"/>
      <c r="L843" s="160"/>
      <c r="M843" s="160"/>
      <c r="N843" s="160"/>
      <c r="O843" s="160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  <c r="AC843" s="91"/>
      <c r="AD843" s="91"/>
      <c r="AE843" s="91"/>
      <c r="AF843" s="91"/>
      <c r="AG843" s="91"/>
      <c r="AH843" s="91"/>
      <c r="AI843" s="91"/>
      <c r="AJ843" s="91"/>
      <c r="AK843" s="91"/>
      <c r="AL843" s="91"/>
      <c r="AM843" s="91"/>
      <c r="AN843" s="91"/>
    </row>
    <row r="844">
      <c r="A844" s="164"/>
      <c r="B844" s="165"/>
      <c r="C844" s="165"/>
      <c r="D844" s="164"/>
      <c r="E844" s="164"/>
      <c r="F844" s="164"/>
      <c r="G844" s="91"/>
      <c r="H844" s="91"/>
      <c r="I844" s="91"/>
      <c r="J844" s="91"/>
      <c r="K844" s="160"/>
      <c r="L844" s="160"/>
      <c r="M844" s="160"/>
      <c r="N844" s="160"/>
      <c r="O844" s="160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  <c r="AC844" s="91"/>
      <c r="AD844" s="91"/>
      <c r="AE844" s="91"/>
      <c r="AF844" s="91"/>
      <c r="AG844" s="91"/>
      <c r="AH844" s="91"/>
      <c r="AI844" s="91"/>
      <c r="AJ844" s="91"/>
      <c r="AK844" s="91"/>
      <c r="AL844" s="91"/>
      <c r="AM844" s="91"/>
      <c r="AN844" s="91"/>
    </row>
    <row r="845">
      <c r="A845" s="164"/>
      <c r="B845" s="165"/>
      <c r="C845" s="165"/>
      <c r="D845" s="164"/>
      <c r="E845" s="164"/>
      <c r="F845" s="164"/>
      <c r="G845" s="91"/>
      <c r="H845" s="91"/>
      <c r="I845" s="91"/>
      <c r="J845" s="91"/>
      <c r="K845" s="160"/>
      <c r="L845" s="160"/>
      <c r="M845" s="160"/>
      <c r="N845" s="160"/>
      <c r="O845" s="160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  <c r="AC845" s="91"/>
      <c r="AD845" s="91"/>
      <c r="AE845" s="91"/>
      <c r="AF845" s="91"/>
      <c r="AG845" s="91"/>
      <c r="AH845" s="91"/>
      <c r="AI845" s="91"/>
      <c r="AJ845" s="91"/>
      <c r="AK845" s="91"/>
      <c r="AL845" s="91"/>
      <c r="AM845" s="91"/>
      <c r="AN845" s="91"/>
    </row>
    <row r="846">
      <c r="A846" s="164"/>
      <c r="B846" s="165"/>
      <c r="C846" s="165"/>
      <c r="D846" s="164"/>
      <c r="E846" s="164"/>
      <c r="F846" s="164"/>
      <c r="G846" s="91"/>
      <c r="H846" s="91"/>
      <c r="I846" s="91"/>
      <c r="J846" s="91"/>
      <c r="K846" s="160"/>
      <c r="L846" s="160"/>
      <c r="M846" s="160"/>
      <c r="N846" s="160"/>
      <c r="O846" s="160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  <c r="AC846" s="91"/>
      <c r="AD846" s="91"/>
      <c r="AE846" s="91"/>
      <c r="AF846" s="91"/>
      <c r="AG846" s="91"/>
      <c r="AH846" s="91"/>
      <c r="AI846" s="91"/>
      <c r="AJ846" s="91"/>
      <c r="AK846" s="91"/>
      <c r="AL846" s="91"/>
      <c r="AM846" s="91"/>
      <c r="AN846" s="91"/>
    </row>
    <row r="847">
      <c r="A847" s="164"/>
      <c r="B847" s="165"/>
      <c r="C847" s="165"/>
      <c r="D847" s="164"/>
      <c r="E847" s="164"/>
      <c r="F847" s="164"/>
      <c r="G847" s="91"/>
      <c r="H847" s="91"/>
      <c r="I847" s="91"/>
      <c r="J847" s="91"/>
      <c r="K847" s="160"/>
      <c r="L847" s="160"/>
      <c r="M847" s="160"/>
      <c r="N847" s="160"/>
      <c r="O847" s="160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  <c r="AC847" s="91"/>
      <c r="AD847" s="91"/>
      <c r="AE847" s="91"/>
      <c r="AF847" s="91"/>
      <c r="AG847" s="91"/>
      <c r="AH847" s="91"/>
      <c r="AI847" s="91"/>
      <c r="AJ847" s="91"/>
      <c r="AK847" s="91"/>
      <c r="AL847" s="91"/>
      <c r="AM847" s="91"/>
      <c r="AN847" s="91"/>
    </row>
    <row r="848">
      <c r="A848" s="164"/>
      <c r="B848" s="165"/>
      <c r="C848" s="165"/>
      <c r="D848" s="164"/>
      <c r="E848" s="164"/>
      <c r="F848" s="164"/>
      <c r="G848" s="91"/>
      <c r="H848" s="91"/>
      <c r="I848" s="91"/>
      <c r="J848" s="91"/>
      <c r="K848" s="160"/>
      <c r="L848" s="160"/>
      <c r="M848" s="160"/>
      <c r="N848" s="160"/>
      <c r="O848" s="160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  <c r="AC848" s="91"/>
      <c r="AD848" s="91"/>
      <c r="AE848" s="91"/>
      <c r="AF848" s="91"/>
      <c r="AG848" s="91"/>
      <c r="AH848" s="91"/>
      <c r="AI848" s="91"/>
      <c r="AJ848" s="91"/>
      <c r="AK848" s="91"/>
      <c r="AL848" s="91"/>
      <c r="AM848" s="91"/>
      <c r="AN848" s="91"/>
    </row>
    <row r="849">
      <c r="A849" s="164"/>
      <c r="B849" s="165"/>
      <c r="C849" s="165"/>
      <c r="D849" s="164"/>
      <c r="E849" s="164"/>
      <c r="F849" s="164"/>
      <c r="G849" s="91"/>
      <c r="H849" s="91"/>
      <c r="I849" s="91"/>
      <c r="J849" s="91"/>
      <c r="K849" s="160"/>
      <c r="L849" s="160"/>
      <c r="M849" s="160"/>
      <c r="N849" s="160"/>
      <c r="O849" s="160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  <c r="AC849" s="91"/>
      <c r="AD849" s="91"/>
      <c r="AE849" s="91"/>
      <c r="AF849" s="91"/>
      <c r="AG849" s="91"/>
      <c r="AH849" s="91"/>
      <c r="AI849" s="91"/>
      <c r="AJ849" s="91"/>
      <c r="AK849" s="91"/>
      <c r="AL849" s="91"/>
      <c r="AM849" s="91"/>
      <c r="AN849" s="91"/>
    </row>
    <row r="850">
      <c r="A850" s="164"/>
      <c r="B850" s="165"/>
      <c r="C850" s="165"/>
      <c r="D850" s="164"/>
      <c r="E850" s="164"/>
      <c r="F850" s="164"/>
      <c r="G850" s="91"/>
      <c r="H850" s="91"/>
      <c r="I850" s="91"/>
      <c r="J850" s="91"/>
      <c r="K850" s="160"/>
      <c r="L850" s="160"/>
      <c r="M850" s="160"/>
      <c r="N850" s="160"/>
      <c r="O850" s="160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  <c r="AC850" s="91"/>
      <c r="AD850" s="91"/>
      <c r="AE850" s="91"/>
      <c r="AF850" s="91"/>
      <c r="AG850" s="91"/>
      <c r="AH850" s="91"/>
      <c r="AI850" s="91"/>
      <c r="AJ850" s="91"/>
      <c r="AK850" s="91"/>
      <c r="AL850" s="91"/>
      <c r="AM850" s="91"/>
      <c r="AN850" s="91"/>
    </row>
    <row r="851">
      <c r="A851" s="164"/>
      <c r="B851" s="165"/>
      <c r="C851" s="165"/>
      <c r="D851" s="164"/>
      <c r="E851" s="164"/>
      <c r="F851" s="164"/>
      <c r="G851" s="91"/>
      <c r="H851" s="91"/>
      <c r="I851" s="91"/>
      <c r="J851" s="91"/>
      <c r="K851" s="160"/>
      <c r="L851" s="160"/>
      <c r="M851" s="160"/>
      <c r="N851" s="160"/>
      <c r="O851" s="160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  <c r="AC851" s="91"/>
      <c r="AD851" s="91"/>
      <c r="AE851" s="91"/>
      <c r="AF851" s="91"/>
      <c r="AG851" s="91"/>
      <c r="AH851" s="91"/>
      <c r="AI851" s="91"/>
      <c r="AJ851" s="91"/>
      <c r="AK851" s="91"/>
      <c r="AL851" s="91"/>
      <c r="AM851" s="91"/>
      <c r="AN851" s="91"/>
    </row>
    <row r="852">
      <c r="A852" s="164"/>
      <c r="B852" s="165"/>
      <c r="C852" s="165"/>
      <c r="D852" s="164"/>
      <c r="E852" s="164"/>
      <c r="F852" s="164"/>
      <c r="G852" s="91"/>
      <c r="H852" s="91"/>
      <c r="I852" s="91"/>
      <c r="J852" s="91"/>
      <c r="K852" s="160"/>
      <c r="L852" s="160"/>
      <c r="M852" s="160"/>
      <c r="N852" s="160"/>
      <c r="O852" s="160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  <c r="AC852" s="91"/>
      <c r="AD852" s="91"/>
      <c r="AE852" s="91"/>
      <c r="AF852" s="91"/>
      <c r="AG852" s="91"/>
      <c r="AH852" s="91"/>
      <c r="AI852" s="91"/>
      <c r="AJ852" s="91"/>
      <c r="AK852" s="91"/>
      <c r="AL852" s="91"/>
      <c r="AM852" s="91"/>
      <c r="AN852" s="91"/>
    </row>
    <row r="853">
      <c r="A853" s="164"/>
      <c r="B853" s="165"/>
      <c r="C853" s="165"/>
      <c r="D853" s="164"/>
      <c r="E853" s="164"/>
      <c r="F853" s="164"/>
      <c r="G853" s="91"/>
      <c r="H853" s="91"/>
      <c r="I853" s="91"/>
      <c r="J853" s="91"/>
      <c r="K853" s="160"/>
      <c r="L853" s="160"/>
      <c r="M853" s="160"/>
      <c r="N853" s="160"/>
      <c r="O853" s="160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  <c r="AC853" s="91"/>
      <c r="AD853" s="91"/>
      <c r="AE853" s="91"/>
      <c r="AF853" s="91"/>
      <c r="AG853" s="91"/>
      <c r="AH853" s="91"/>
      <c r="AI853" s="91"/>
      <c r="AJ853" s="91"/>
      <c r="AK853" s="91"/>
      <c r="AL853" s="91"/>
      <c r="AM853" s="91"/>
      <c r="AN853" s="91"/>
    </row>
    <row r="854">
      <c r="A854" s="164"/>
      <c r="B854" s="165"/>
      <c r="C854" s="165"/>
      <c r="D854" s="164"/>
      <c r="E854" s="164"/>
      <c r="F854" s="164"/>
      <c r="G854" s="91"/>
      <c r="H854" s="91"/>
      <c r="I854" s="91"/>
      <c r="J854" s="91"/>
      <c r="K854" s="160"/>
      <c r="L854" s="160"/>
      <c r="M854" s="160"/>
      <c r="N854" s="160"/>
      <c r="O854" s="160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  <c r="AC854" s="91"/>
      <c r="AD854" s="91"/>
      <c r="AE854" s="91"/>
      <c r="AF854" s="91"/>
      <c r="AG854" s="91"/>
      <c r="AH854" s="91"/>
      <c r="AI854" s="91"/>
      <c r="AJ854" s="91"/>
      <c r="AK854" s="91"/>
      <c r="AL854" s="91"/>
      <c r="AM854" s="91"/>
      <c r="AN854" s="91"/>
    </row>
    <row r="855">
      <c r="A855" s="164"/>
      <c r="B855" s="165"/>
      <c r="C855" s="165"/>
      <c r="D855" s="164"/>
      <c r="E855" s="164"/>
      <c r="F855" s="164"/>
      <c r="G855" s="91"/>
      <c r="H855" s="91"/>
      <c r="I855" s="91"/>
      <c r="J855" s="91"/>
      <c r="K855" s="160"/>
      <c r="L855" s="160"/>
      <c r="M855" s="160"/>
      <c r="N855" s="160"/>
      <c r="O855" s="160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  <c r="AC855" s="91"/>
      <c r="AD855" s="91"/>
      <c r="AE855" s="91"/>
      <c r="AF855" s="91"/>
      <c r="AG855" s="91"/>
      <c r="AH855" s="91"/>
      <c r="AI855" s="91"/>
      <c r="AJ855" s="91"/>
      <c r="AK855" s="91"/>
      <c r="AL855" s="91"/>
      <c r="AM855" s="91"/>
      <c r="AN855" s="91"/>
    </row>
    <row r="856">
      <c r="A856" s="164"/>
      <c r="B856" s="165"/>
      <c r="C856" s="165"/>
      <c r="D856" s="164"/>
      <c r="E856" s="164"/>
      <c r="F856" s="164"/>
      <c r="G856" s="91"/>
      <c r="H856" s="91"/>
      <c r="I856" s="91"/>
      <c r="J856" s="91"/>
      <c r="K856" s="160"/>
      <c r="L856" s="160"/>
      <c r="M856" s="160"/>
      <c r="N856" s="160"/>
      <c r="O856" s="160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  <c r="AC856" s="91"/>
      <c r="AD856" s="91"/>
      <c r="AE856" s="91"/>
      <c r="AF856" s="91"/>
      <c r="AG856" s="91"/>
      <c r="AH856" s="91"/>
      <c r="AI856" s="91"/>
      <c r="AJ856" s="91"/>
      <c r="AK856" s="91"/>
      <c r="AL856" s="91"/>
      <c r="AM856" s="91"/>
      <c r="AN856" s="91"/>
    </row>
    <row r="857">
      <c r="A857" s="164"/>
      <c r="B857" s="165"/>
      <c r="C857" s="165"/>
      <c r="D857" s="164"/>
      <c r="E857" s="164"/>
      <c r="F857" s="164"/>
      <c r="G857" s="91"/>
      <c r="H857" s="91"/>
      <c r="I857" s="91"/>
      <c r="J857" s="91"/>
      <c r="K857" s="160"/>
      <c r="L857" s="160"/>
      <c r="M857" s="160"/>
      <c r="N857" s="160"/>
      <c r="O857" s="160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  <c r="AC857" s="91"/>
      <c r="AD857" s="91"/>
      <c r="AE857" s="91"/>
      <c r="AF857" s="91"/>
      <c r="AG857" s="91"/>
      <c r="AH857" s="91"/>
      <c r="AI857" s="91"/>
      <c r="AJ857" s="91"/>
      <c r="AK857" s="91"/>
      <c r="AL857" s="91"/>
      <c r="AM857" s="91"/>
      <c r="AN857" s="91"/>
    </row>
    <row r="858">
      <c r="A858" s="164"/>
      <c r="B858" s="165"/>
      <c r="C858" s="165"/>
      <c r="D858" s="164"/>
      <c r="E858" s="164"/>
      <c r="F858" s="164"/>
      <c r="G858" s="91"/>
      <c r="H858" s="91"/>
      <c r="I858" s="91"/>
      <c r="J858" s="91"/>
      <c r="K858" s="160"/>
      <c r="L858" s="160"/>
      <c r="M858" s="160"/>
      <c r="N858" s="160"/>
      <c r="O858" s="160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  <c r="AC858" s="91"/>
      <c r="AD858" s="91"/>
      <c r="AE858" s="91"/>
      <c r="AF858" s="91"/>
      <c r="AG858" s="91"/>
      <c r="AH858" s="91"/>
      <c r="AI858" s="91"/>
      <c r="AJ858" s="91"/>
      <c r="AK858" s="91"/>
      <c r="AL858" s="91"/>
      <c r="AM858" s="91"/>
      <c r="AN858" s="91"/>
    </row>
    <row r="859">
      <c r="A859" s="164"/>
      <c r="B859" s="165"/>
      <c r="C859" s="165"/>
      <c r="D859" s="164"/>
      <c r="E859" s="164"/>
      <c r="F859" s="164"/>
      <c r="G859" s="91"/>
      <c r="H859" s="91"/>
      <c r="I859" s="91"/>
      <c r="J859" s="91"/>
      <c r="K859" s="160"/>
      <c r="L859" s="160"/>
      <c r="M859" s="160"/>
      <c r="N859" s="160"/>
      <c r="O859" s="160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  <c r="AC859" s="91"/>
      <c r="AD859" s="91"/>
      <c r="AE859" s="91"/>
      <c r="AF859" s="91"/>
      <c r="AG859" s="91"/>
      <c r="AH859" s="91"/>
      <c r="AI859" s="91"/>
      <c r="AJ859" s="91"/>
      <c r="AK859" s="91"/>
      <c r="AL859" s="91"/>
      <c r="AM859" s="91"/>
      <c r="AN859" s="91"/>
    </row>
    <row r="860">
      <c r="A860" s="164"/>
      <c r="B860" s="165"/>
      <c r="C860" s="165"/>
      <c r="D860" s="164"/>
      <c r="E860" s="164"/>
      <c r="F860" s="164"/>
      <c r="G860" s="91"/>
      <c r="H860" s="91"/>
      <c r="I860" s="91"/>
      <c r="J860" s="91"/>
      <c r="K860" s="160"/>
      <c r="L860" s="160"/>
      <c r="M860" s="160"/>
      <c r="N860" s="160"/>
      <c r="O860" s="160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  <c r="AC860" s="91"/>
      <c r="AD860" s="91"/>
      <c r="AE860" s="91"/>
      <c r="AF860" s="91"/>
      <c r="AG860" s="91"/>
      <c r="AH860" s="91"/>
      <c r="AI860" s="91"/>
      <c r="AJ860" s="91"/>
      <c r="AK860" s="91"/>
      <c r="AL860" s="91"/>
      <c r="AM860" s="91"/>
      <c r="AN860" s="91"/>
    </row>
    <row r="861">
      <c r="A861" s="164"/>
      <c r="B861" s="165"/>
      <c r="C861" s="165"/>
      <c r="D861" s="164"/>
      <c r="E861" s="164"/>
      <c r="F861" s="164"/>
      <c r="G861" s="91"/>
      <c r="H861" s="91"/>
      <c r="I861" s="91"/>
      <c r="J861" s="91"/>
      <c r="K861" s="160"/>
      <c r="L861" s="160"/>
      <c r="M861" s="160"/>
      <c r="N861" s="160"/>
      <c r="O861" s="160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  <c r="AC861" s="91"/>
      <c r="AD861" s="91"/>
      <c r="AE861" s="91"/>
      <c r="AF861" s="91"/>
      <c r="AG861" s="91"/>
      <c r="AH861" s="91"/>
      <c r="AI861" s="91"/>
      <c r="AJ861" s="91"/>
      <c r="AK861" s="91"/>
      <c r="AL861" s="91"/>
      <c r="AM861" s="91"/>
      <c r="AN861" s="91"/>
    </row>
    <row r="862">
      <c r="A862" s="164"/>
      <c r="B862" s="165"/>
      <c r="C862" s="165"/>
      <c r="D862" s="164"/>
      <c r="E862" s="164"/>
      <c r="F862" s="164"/>
      <c r="G862" s="91"/>
      <c r="H862" s="91"/>
      <c r="I862" s="91"/>
      <c r="J862" s="91"/>
      <c r="K862" s="160"/>
      <c r="L862" s="160"/>
      <c r="M862" s="160"/>
      <c r="N862" s="160"/>
      <c r="O862" s="160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  <c r="AC862" s="91"/>
      <c r="AD862" s="91"/>
      <c r="AE862" s="91"/>
      <c r="AF862" s="91"/>
      <c r="AG862" s="91"/>
      <c r="AH862" s="91"/>
      <c r="AI862" s="91"/>
      <c r="AJ862" s="91"/>
      <c r="AK862" s="91"/>
      <c r="AL862" s="91"/>
      <c r="AM862" s="91"/>
      <c r="AN862" s="91"/>
    </row>
    <row r="863">
      <c r="A863" s="164"/>
      <c r="B863" s="165"/>
      <c r="C863" s="165"/>
      <c r="D863" s="164"/>
      <c r="E863" s="164"/>
      <c r="F863" s="164"/>
      <c r="G863" s="91"/>
      <c r="H863" s="91"/>
      <c r="I863" s="91"/>
      <c r="J863" s="91"/>
      <c r="K863" s="160"/>
      <c r="L863" s="160"/>
      <c r="M863" s="160"/>
      <c r="N863" s="160"/>
      <c r="O863" s="160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  <c r="AC863" s="91"/>
      <c r="AD863" s="91"/>
      <c r="AE863" s="91"/>
      <c r="AF863" s="91"/>
      <c r="AG863" s="91"/>
      <c r="AH863" s="91"/>
      <c r="AI863" s="91"/>
      <c r="AJ863" s="91"/>
      <c r="AK863" s="91"/>
      <c r="AL863" s="91"/>
      <c r="AM863" s="91"/>
      <c r="AN863" s="91"/>
    </row>
    <row r="864">
      <c r="A864" s="164"/>
      <c r="B864" s="165"/>
      <c r="C864" s="165"/>
      <c r="D864" s="164"/>
      <c r="E864" s="164"/>
      <c r="F864" s="164"/>
      <c r="G864" s="91"/>
      <c r="H864" s="91"/>
      <c r="I864" s="91"/>
      <c r="J864" s="91"/>
      <c r="K864" s="160"/>
      <c r="L864" s="160"/>
      <c r="M864" s="160"/>
      <c r="N864" s="160"/>
      <c r="O864" s="160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  <c r="AC864" s="91"/>
      <c r="AD864" s="91"/>
      <c r="AE864" s="91"/>
      <c r="AF864" s="91"/>
      <c r="AG864" s="91"/>
      <c r="AH864" s="91"/>
      <c r="AI864" s="91"/>
      <c r="AJ864" s="91"/>
      <c r="AK864" s="91"/>
      <c r="AL864" s="91"/>
      <c r="AM864" s="91"/>
      <c r="AN864" s="91"/>
    </row>
    <row r="865">
      <c r="A865" s="164"/>
      <c r="B865" s="165"/>
      <c r="C865" s="165"/>
      <c r="D865" s="164"/>
      <c r="E865" s="164"/>
      <c r="F865" s="164"/>
      <c r="G865" s="91"/>
      <c r="H865" s="91"/>
      <c r="I865" s="91"/>
      <c r="J865" s="91"/>
      <c r="K865" s="160"/>
      <c r="L865" s="160"/>
      <c r="M865" s="160"/>
      <c r="N865" s="160"/>
      <c r="O865" s="160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  <c r="AC865" s="91"/>
      <c r="AD865" s="91"/>
      <c r="AE865" s="91"/>
      <c r="AF865" s="91"/>
      <c r="AG865" s="91"/>
      <c r="AH865" s="91"/>
      <c r="AI865" s="91"/>
      <c r="AJ865" s="91"/>
      <c r="AK865" s="91"/>
      <c r="AL865" s="91"/>
      <c r="AM865" s="91"/>
      <c r="AN865" s="91"/>
    </row>
    <row r="866">
      <c r="A866" s="164"/>
      <c r="B866" s="165"/>
      <c r="C866" s="165"/>
      <c r="D866" s="164"/>
      <c r="E866" s="164"/>
      <c r="F866" s="164"/>
      <c r="G866" s="91"/>
      <c r="H866" s="91"/>
      <c r="I866" s="91"/>
      <c r="J866" s="91"/>
      <c r="K866" s="160"/>
      <c r="L866" s="160"/>
      <c r="M866" s="160"/>
      <c r="N866" s="160"/>
      <c r="O866" s="160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  <c r="AC866" s="91"/>
      <c r="AD866" s="91"/>
      <c r="AE866" s="91"/>
      <c r="AF866" s="91"/>
      <c r="AG866" s="91"/>
      <c r="AH866" s="91"/>
      <c r="AI866" s="91"/>
      <c r="AJ866" s="91"/>
      <c r="AK866" s="91"/>
      <c r="AL866" s="91"/>
      <c r="AM866" s="91"/>
      <c r="AN866" s="91"/>
    </row>
    <row r="867">
      <c r="A867" s="164"/>
      <c r="B867" s="165"/>
      <c r="C867" s="165"/>
      <c r="D867" s="164"/>
      <c r="E867" s="164"/>
      <c r="F867" s="164"/>
      <c r="G867" s="91"/>
      <c r="H867" s="91"/>
      <c r="I867" s="91"/>
      <c r="J867" s="91"/>
      <c r="K867" s="160"/>
      <c r="L867" s="160"/>
      <c r="M867" s="160"/>
      <c r="N867" s="160"/>
      <c r="O867" s="160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  <c r="AC867" s="91"/>
      <c r="AD867" s="91"/>
      <c r="AE867" s="91"/>
      <c r="AF867" s="91"/>
      <c r="AG867" s="91"/>
      <c r="AH867" s="91"/>
      <c r="AI867" s="91"/>
      <c r="AJ867" s="91"/>
      <c r="AK867" s="91"/>
      <c r="AL867" s="91"/>
      <c r="AM867" s="91"/>
      <c r="AN867" s="91"/>
    </row>
    <row r="868">
      <c r="A868" s="164"/>
      <c r="B868" s="165"/>
      <c r="C868" s="165"/>
      <c r="D868" s="164"/>
      <c r="E868" s="164"/>
      <c r="F868" s="164"/>
      <c r="G868" s="91"/>
      <c r="H868" s="91"/>
      <c r="I868" s="91"/>
      <c r="J868" s="91"/>
      <c r="K868" s="160"/>
      <c r="L868" s="160"/>
      <c r="M868" s="160"/>
      <c r="N868" s="160"/>
      <c r="O868" s="160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  <c r="AC868" s="91"/>
      <c r="AD868" s="91"/>
      <c r="AE868" s="91"/>
      <c r="AF868" s="91"/>
      <c r="AG868" s="91"/>
      <c r="AH868" s="91"/>
      <c r="AI868" s="91"/>
      <c r="AJ868" s="91"/>
      <c r="AK868" s="91"/>
      <c r="AL868" s="91"/>
      <c r="AM868" s="91"/>
      <c r="AN868" s="91"/>
    </row>
    <row r="869">
      <c r="A869" s="164"/>
      <c r="B869" s="165"/>
      <c r="C869" s="165"/>
      <c r="D869" s="164"/>
      <c r="E869" s="164"/>
      <c r="F869" s="164"/>
      <c r="G869" s="91"/>
      <c r="H869" s="91"/>
      <c r="I869" s="91"/>
      <c r="J869" s="91"/>
      <c r="K869" s="160"/>
      <c r="L869" s="160"/>
      <c r="M869" s="160"/>
      <c r="N869" s="160"/>
      <c r="O869" s="160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  <c r="AC869" s="91"/>
      <c r="AD869" s="91"/>
      <c r="AE869" s="91"/>
      <c r="AF869" s="91"/>
      <c r="AG869" s="91"/>
      <c r="AH869" s="91"/>
      <c r="AI869" s="91"/>
      <c r="AJ869" s="91"/>
      <c r="AK869" s="91"/>
      <c r="AL869" s="91"/>
      <c r="AM869" s="91"/>
      <c r="AN869" s="91"/>
    </row>
    <row r="870">
      <c r="A870" s="164"/>
      <c r="B870" s="165"/>
      <c r="C870" s="165"/>
      <c r="D870" s="164"/>
      <c r="E870" s="164"/>
      <c r="F870" s="164"/>
      <c r="G870" s="91"/>
      <c r="H870" s="91"/>
      <c r="I870" s="91"/>
      <c r="J870" s="91"/>
      <c r="K870" s="160"/>
      <c r="L870" s="160"/>
      <c r="M870" s="160"/>
      <c r="N870" s="160"/>
      <c r="O870" s="160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  <c r="AC870" s="91"/>
      <c r="AD870" s="91"/>
      <c r="AE870" s="91"/>
      <c r="AF870" s="91"/>
      <c r="AG870" s="91"/>
      <c r="AH870" s="91"/>
      <c r="AI870" s="91"/>
      <c r="AJ870" s="91"/>
      <c r="AK870" s="91"/>
      <c r="AL870" s="91"/>
      <c r="AM870" s="91"/>
      <c r="AN870" s="91"/>
    </row>
    <row r="871">
      <c r="A871" s="164"/>
      <c r="B871" s="165"/>
      <c r="C871" s="165"/>
      <c r="D871" s="164"/>
      <c r="E871" s="164"/>
      <c r="F871" s="164"/>
      <c r="G871" s="91"/>
      <c r="H871" s="91"/>
      <c r="I871" s="91"/>
      <c r="J871" s="91"/>
      <c r="K871" s="160"/>
      <c r="L871" s="160"/>
      <c r="M871" s="160"/>
      <c r="N871" s="160"/>
      <c r="O871" s="160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  <c r="AC871" s="91"/>
      <c r="AD871" s="91"/>
      <c r="AE871" s="91"/>
      <c r="AF871" s="91"/>
      <c r="AG871" s="91"/>
      <c r="AH871" s="91"/>
      <c r="AI871" s="91"/>
      <c r="AJ871" s="91"/>
      <c r="AK871" s="91"/>
      <c r="AL871" s="91"/>
      <c r="AM871" s="91"/>
      <c r="AN871" s="91"/>
    </row>
    <row r="872">
      <c r="A872" s="164"/>
      <c r="B872" s="165"/>
      <c r="C872" s="165"/>
      <c r="D872" s="164"/>
      <c r="E872" s="164"/>
      <c r="F872" s="164"/>
      <c r="G872" s="91"/>
      <c r="H872" s="91"/>
      <c r="I872" s="91"/>
      <c r="J872" s="91"/>
      <c r="K872" s="160"/>
      <c r="L872" s="160"/>
      <c r="M872" s="160"/>
      <c r="N872" s="160"/>
      <c r="O872" s="160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  <c r="AC872" s="91"/>
      <c r="AD872" s="91"/>
      <c r="AE872" s="91"/>
      <c r="AF872" s="91"/>
      <c r="AG872" s="91"/>
      <c r="AH872" s="91"/>
      <c r="AI872" s="91"/>
      <c r="AJ872" s="91"/>
      <c r="AK872" s="91"/>
      <c r="AL872" s="91"/>
      <c r="AM872" s="91"/>
      <c r="AN872" s="91"/>
    </row>
    <row r="873">
      <c r="A873" s="164"/>
      <c r="B873" s="165"/>
      <c r="C873" s="165"/>
      <c r="D873" s="164"/>
      <c r="E873" s="164"/>
      <c r="F873" s="164"/>
      <c r="G873" s="91"/>
      <c r="H873" s="91"/>
      <c r="I873" s="91"/>
      <c r="J873" s="91"/>
      <c r="K873" s="160"/>
      <c r="L873" s="160"/>
      <c r="M873" s="160"/>
      <c r="N873" s="160"/>
      <c r="O873" s="160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  <c r="AC873" s="91"/>
      <c r="AD873" s="91"/>
      <c r="AE873" s="91"/>
      <c r="AF873" s="91"/>
      <c r="AG873" s="91"/>
      <c r="AH873" s="91"/>
      <c r="AI873" s="91"/>
      <c r="AJ873" s="91"/>
      <c r="AK873" s="91"/>
      <c r="AL873" s="91"/>
      <c r="AM873" s="91"/>
      <c r="AN873" s="91"/>
    </row>
    <row r="874">
      <c r="A874" s="164"/>
      <c r="B874" s="165"/>
      <c r="C874" s="165"/>
      <c r="D874" s="164"/>
      <c r="E874" s="164"/>
      <c r="F874" s="164"/>
      <c r="G874" s="91"/>
      <c r="H874" s="91"/>
      <c r="I874" s="91"/>
      <c r="J874" s="91"/>
      <c r="K874" s="160"/>
      <c r="L874" s="160"/>
      <c r="M874" s="160"/>
      <c r="N874" s="160"/>
      <c r="O874" s="160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  <c r="AC874" s="91"/>
      <c r="AD874" s="91"/>
      <c r="AE874" s="91"/>
      <c r="AF874" s="91"/>
      <c r="AG874" s="91"/>
      <c r="AH874" s="91"/>
      <c r="AI874" s="91"/>
      <c r="AJ874" s="91"/>
      <c r="AK874" s="91"/>
      <c r="AL874" s="91"/>
      <c r="AM874" s="91"/>
      <c r="AN874" s="91"/>
    </row>
    <row r="875">
      <c r="A875" s="164"/>
      <c r="B875" s="165"/>
      <c r="C875" s="165"/>
      <c r="D875" s="164"/>
      <c r="E875" s="164"/>
      <c r="F875" s="164"/>
      <c r="G875" s="91"/>
      <c r="H875" s="91"/>
      <c r="I875" s="91"/>
      <c r="J875" s="91"/>
      <c r="K875" s="160"/>
      <c r="L875" s="160"/>
      <c r="M875" s="160"/>
      <c r="N875" s="160"/>
      <c r="O875" s="160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  <c r="AC875" s="91"/>
      <c r="AD875" s="91"/>
      <c r="AE875" s="91"/>
      <c r="AF875" s="91"/>
      <c r="AG875" s="91"/>
      <c r="AH875" s="91"/>
      <c r="AI875" s="91"/>
      <c r="AJ875" s="91"/>
      <c r="AK875" s="91"/>
      <c r="AL875" s="91"/>
      <c r="AM875" s="91"/>
      <c r="AN875" s="91"/>
    </row>
    <row r="876">
      <c r="A876" s="164"/>
      <c r="B876" s="165"/>
      <c r="C876" s="165"/>
      <c r="D876" s="164"/>
      <c r="E876" s="164"/>
      <c r="F876" s="164"/>
      <c r="G876" s="91"/>
      <c r="H876" s="91"/>
      <c r="I876" s="91"/>
      <c r="J876" s="91"/>
      <c r="K876" s="160"/>
      <c r="L876" s="160"/>
      <c r="M876" s="160"/>
      <c r="N876" s="160"/>
      <c r="O876" s="160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  <c r="AC876" s="91"/>
      <c r="AD876" s="91"/>
      <c r="AE876" s="91"/>
      <c r="AF876" s="91"/>
      <c r="AG876" s="91"/>
      <c r="AH876" s="91"/>
      <c r="AI876" s="91"/>
      <c r="AJ876" s="91"/>
      <c r="AK876" s="91"/>
      <c r="AL876" s="91"/>
      <c r="AM876" s="91"/>
      <c r="AN876" s="91"/>
    </row>
    <row r="877">
      <c r="A877" s="164"/>
      <c r="B877" s="165"/>
      <c r="C877" s="165"/>
      <c r="D877" s="164"/>
      <c r="E877" s="164"/>
      <c r="F877" s="164"/>
      <c r="G877" s="91"/>
      <c r="H877" s="91"/>
      <c r="I877" s="91"/>
      <c r="J877" s="91"/>
      <c r="K877" s="160"/>
      <c r="L877" s="160"/>
      <c r="M877" s="160"/>
      <c r="N877" s="160"/>
      <c r="O877" s="160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  <c r="AC877" s="91"/>
      <c r="AD877" s="91"/>
      <c r="AE877" s="91"/>
      <c r="AF877" s="91"/>
      <c r="AG877" s="91"/>
      <c r="AH877" s="91"/>
      <c r="AI877" s="91"/>
      <c r="AJ877" s="91"/>
      <c r="AK877" s="91"/>
      <c r="AL877" s="91"/>
      <c r="AM877" s="91"/>
      <c r="AN877" s="91"/>
    </row>
    <row r="878">
      <c r="A878" s="164"/>
      <c r="B878" s="165"/>
      <c r="C878" s="165"/>
      <c r="D878" s="164"/>
      <c r="E878" s="164"/>
      <c r="F878" s="164"/>
      <c r="G878" s="91"/>
      <c r="H878" s="91"/>
      <c r="I878" s="91"/>
      <c r="J878" s="91"/>
      <c r="K878" s="160"/>
      <c r="L878" s="160"/>
      <c r="M878" s="160"/>
      <c r="N878" s="160"/>
      <c r="O878" s="160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  <c r="AC878" s="91"/>
      <c r="AD878" s="91"/>
      <c r="AE878" s="91"/>
      <c r="AF878" s="91"/>
      <c r="AG878" s="91"/>
      <c r="AH878" s="91"/>
      <c r="AI878" s="91"/>
      <c r="AJ878" s="91"/>
      <c r="AK878" s="91"/>
      <c r="AL878" s="91"/>
      <c r="AM878" s="91"/>
      <c r="AN878" s="91"/>
    </row>
    <row r="879">
      <c r="A879" s="164"/>
      <c r="B879" s="165"/>
      <c r="C879" s="165"/>
      <c r="D879" s="164"/>
      <c r="E879" s="164"/>
      <c r="F879" s="164"/>
      <c r="G879" s="91"/>
      <c r="H879" s="91"/>
      <c r="I879" s="91"/>
      <c r="J879" s="91"/>
      <c r="K879" s="160"/>
      <c r="L879" s="160"/>
      <c r="M879" s="160"/>
      <c r="N879" s="160"/>
      <c r="O879" s="160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  <c r="AC879" s="91"/>
      <c r="AD879" s="91"/>
      <c r="AE879" s="91"/>
      <c r="AF879" s="91"/>
      <c r="AG879" s="91"/>
      <c r="AH879" s="91"/>
      <c r="AI879" s="91"/>
      <c r="AJ879" s="91"/>
      <c r="AK879" s="91"/>
      <c r="AL879" s="91"/>
      <c r="AM879" s="91"/>
      <c r="AN879" s="91"/>
    </row>
    <row r="880">
      <c r="A880" s="164"/>
      <c r="B880" s="165"/>
      <c r="C880" s="165"/>
      <c r="D880" s="164"/>
      <c r="E880" s="164"/>
      <c r="F880" s="164"/>
      <c r="G880" s="91"/>
      <c r="H880" s="91"/>
      <c r="I880" s="91"/>
      <c r="J880" s="91"/>
      <c r="K880" s="160"/>
      <c r="L880" s="160"/>
      <c r="M880" s="160"/>
      <c r="N880" s="160"/>
      <c r="O880" s="160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  <c r="AC880" s="91"/>
      <c r="AD880" s="91"/>
      <c r="AE880" s="91"/>
      <c r="AF880" s="91"/>
      <c r="AG880" s="91"/>
      <c r="AH880" s="91"/>
      <c r="AI880" s="91"/>
      <c r="AJ880" s="91"/>
      <c r="AK880" s="91"/>
      <c r="AL880" s="91"/>
      <c r="AM880" s="91"/>
      <c r="AN880" s="91"/>
    </row>
    <row r="881">
      <c r="A881" s="164"/>
      <c r="B881" s="165"/>
      <c r="C881" s="165"/>
      <c r="D881" s="164"/>
      <c r="E881" s="164"/>
      <c r="F881" s="164"/>
      <c r="G881" s="91"/>
      <c r="H881" s="91"/>
      <c r="I881" s="91"/>
      <c r="J881" s="91"/>
      <c r="K881" s="160"/>
      <c r="L881" s="160"/>
      <c r="M881" s="160"/>
      <c r="N881" s="160"/>
      <c r="O881" s="160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  <c r="AC881" s="91"/>
      <c r="AD881" s="91"/>
      <c r="AE881" s="91"/>
      <c r="AF881" s="91"/>
      <c r="AG881" s="91"/>
      <c r="AH881" s="91"/>
      <c r="AI881" s="91"/>
      <c r="AJ881" s="91"/>
      <c r="AK881" s="91"/>
      <c r="AL881" s="91"/>
      <c r="AM881" s="91"/>
      <c r="AN881" s="91"/>
    </row>
    <row r="882">
      <c r="A882" s="164"/>
      <c r="B882" s="165"/>
      <c r="C882" s="165"/>
      <c r="D882" s="164"/>
      <c r="E882" s="164"/>
      <c r="F882" s="164"/>
      <c r="G882" s="91"/>
      <c r="H882" s="91"/>
      <c r="I882" s="91"/>
      <c r="J882" s="91"/>
      <c r="K882" s="160"/>
      <c r="L882" s="160"/>
      <c r="M882" s="160"/>
      <c r="N882" s="160"/>
      <c r="O882" s="160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  <c r="AC882" s="91"/>
      <c r="AD882" s="91"/>
      <c r="AE882" s="91"/>
      <c r="AF882" s="91"/>
      <c r="AG882" s="91"/>
      <c r="AH882" s="91"/>
      <c r="AI882" s="91"/>
      <c r="AJ882" s="91"/>
      <c r="AK882" s="91"/>
      <c r="AL882" s="91"/>
      <c r="AM882" s="91"/>
      <c r="AN882" s="91"/>
    </row>
    <row r="883">
      <c r="A883" s="164"/>
      <c r="B883" s="165"/>
      <c r="C883" s="165"/>
      <c r="D883" s="164"/>
      <c r="E883" s="164"/>
      <c r="F883" s="164"/>
      <c r="G883" s="91"/>
      <c r="H883" s="91"/>
      <c r="I883" s="91"/>
      <c r="J883" s="91"/>
      <c r="K883" s="160"/>
      <c r="L883" s="160"/>
      <c r="M883" s="160"/>
      <c r="N883" s="160"/>
      <c r="O883" s="160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  <c r="AC883" s="91"/>
      <c r="AD883" s="91"/>
      <c r="AE883" s="91"/>
      <c r="AF883" s="91"/>
      <c r="AG883" s="91"/>
      <c r="AH883" s="91"/>
      <c r="AI883" s="91"/>
      <c r="AJ883" s="91"/>
      <c r="AK883" s="91"/>
      <c r="AL883" s="91"/>
      <c r="AM883" s="91"/>
      <c r="AN883" s="91"/>
    </row>
    <row r="884">
      <c r="A884" s="164"/>
      <c r="B884" s="165"/>
      <c r="C884" s="165"/>
      <c r="D884" s="164"/>
      <c r="E884" s="164"/>
      <c r="F884" s="164"/>
      <c r="G884" s="91"/>
      <c r="H884" s="91"/>
      <c r="I884" s="91"/>
      <c r="J884" s="91"/>
      <c r="K884" s="160"/>
      <c r="L884" s="160"/>
      <c r="M884" s="160"/>
      <c r="N884" s="160"/>
      <c r="O884" s="160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  <c r="AC884" s="91"/>
      <c r="AD884" s="91"/>
      <c r="AE884" s="91"/>
      <c r="AF884" s="91"/>
      <c r="AG884" s="91"/>
      <c r="AH884" s="91"/>
      <c r="AI884" s="91"/>
      <c r="AJ884" s="91"/>
      <c r="AK884" s="91"/>
      <c r="AL884" s="91"/>
      <c r="AM884" s="91"/>
      <c r="AN884" s="91"/>
    </row>
    <row r="885">
      <c r="A885" s="164"/>
      <c r="B885" s="165"/>
      <c r="C885" s="165"/>
      <c r="D885" s="164"/>
      <c r="E885" s="164"/>
      <c r="F885" s="164"/>
      <c r="G885" s="91"/>
      <c r="H885" s="91"/>
      <c r="I885" s="91"/>
      <c r="J885" s="91"/>
      <c r="K885" s="160"/>
      <c r="L885" s="160"/>
      <c r="M885" s="160"/>
      <c r="N885" s="160"/>
      <c r="O885" s="160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  <c r="AC885" s="91"/>
      <c r="AD885" s="91"/>
      <c r="AE885" s="91"/>
      <c r="AF885" s="91"/>
      <c r="AG885" s="91"/>
      <c r="AH885" s="91"/>
      <c r="AI885" s="91"/>
      <c r="AJ885" s="91"/>
      <c r="AK885" s="91"/>
      <c r="AL885" s="91"/>
      <c r="AM885" s="91"/>
      <c r="AN885" s="91"/>
    </row>
    <row r="886">
      <c r="A886" s="164"/>
      <c r="B886" s="165"/>
      <c r="C886" s="165"/>
      <c r="D886" s="164"/>
      <c r="E886" s="164"/>
      <c r="F886" s="164"/>
      <c r="G886" s="91"/>
      <c r="H886" s="91"/>
      <c r="I886" s="91"/>
      <c r="J886" s="91"/>
      <c r="K886" s="160"/>
      <c r="L886" s="160"/>
      <c r="M886" s="160"/>
      <c r="N886" s="160"/>
      <c r="O886" s="160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  <c r="AC886" s="91"/>
      <c r="AD886" s="91"/>
      <c r="AE886" s="91"/>
      <c r="AF886" s="91"/>
      <c r="AG886" s="91"/>
      <c r="AH886" s="91"/>
      <c r="AI886" s="91"/>
      <c r="AJ886" s="91"/>
      <c r="AK886" s="91"/>
      <c r="AL886" s="91"/>
      <c r="AM886" s="91"/>
      <c r="AN886" s="91"/>
    </row>
    <row r="887">
      <c r="A887" s="164"/>
      <c r="B887" s="165"/>
      <c r="C887" s="165"/>
      <c r="D887" s="164"/>
      <c r="E887" s="164"/>
      <c r="F887" s="164"/>
      <c r="G887" s="91"/>
      <c r="H887" s="91"/>
      <c r="I887" s="91"/>
      <c r="J887" s="91"/>
      <c r="K887" s="160"/>
      <c r="L887" s="160"/>
      <c r="M887" s="160"/>
      <c r="N887" s="160"/>
      <c r="O887" s="160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  <c r="AC887" s="91"/>
      <c r="AD887" s="91"/>
      <c r="AE887" s="91"/>
      <c r="AF887" s="91"/>
      <c r="AG887" s="91"/>
      <c r="AH887" s="91"/>
      <c r="AI887" s="91"/>
      <c r="AJ887" s="91"/>
      <c r="AK887" s="91"/>
      <c r="AL887" s="91"/>
      <c r="AM887" s="91"/>
      <c r="AN887" s="91"/>
    </row>
    <row r="888">
      <c r="A888" s="164"/>
      <c r="B888" s="165"/>
      <c r="C888" s="165"/>
      <c r="D888" s="164"/>
      <c r="E888" s="164"/>
      <c r="F888" s="164"/>
      <c r="G888" s="91"/>
      <c r="H888" s="91"/>
      <c r="I888" s="91"/>
      <c r="J888" s="91"/>
      <c r="K888" s="160"/>
      <c r="L888" s="160"/>
      <c r="M888" s="160"/>
      <c r="N888" s="160"/>
      <c r="O888" s="160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  <c r="AC888" s="91"/>
      <c r="AD888" s="91"/>
      <c r="AE888" s="91"/>
      <c r="AF888" s="91"/>
      <c r="AG888" s="91"/>
      <c r="AH888" s="91"/>
      <c r="AI888" s="91"/>
      <c r="AJ888" s="91"/>
      <c r="AK888" s="91"/>
      <c r="AL888" s="91"/>
      <c r="AM888" s="91"/>
      <c r="AN888" s="91"/>
    </row>
    <row r="889">
      <c r="A889" s="164"/>
      <c r="B889" s="165"/>
      <c r="C889" s="165"/>
      <c r="D889" s="164"/>
      <c r="E889" s="164"/>
      <c r="F889" s="164"/>
      <c r="G889" s="91"/>
      <c r="H889" s="91"/>
      <c r="I889" s="91"/>
      <c r="J889" s="91"/>
      <c r="K889" s="160"/>
      <c r="L889" s="160"/>
      <c r="M889" s="160"/>
      <c r="N889" s="160"/>
      <c r="O889" s="160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  <c r="AC889" s="91"/>
      <c r="AD889" s="91"/>
      <c r="AE889" s="91"/>
      <c r="AF889" s="91"/>
      <c r="AG889" s="91"/>
      <c r="AH889" s="91"/>
      <c r="AI889" s="91"/>
      <c r="AJ889" s="91"/>
      <c r="AK889" s="91"/>
      <c r="AL889" s="91"/>
      <c r="AM889" s="91"/>
      <c r="AN889" s="91"/>
    </row>
    <row r="890">
      <c r="A890" s="164"/>
      <c r="B890" s="165"/>
      <c r="C890" s="165"/>
      <c r="D890" s="164"/>
      <c r="E890" s="164"/>
      <c r="F890" s="164"/>
      <c r="G890" s="91"/>
      <c r="H890" s="91"/>
      <c r="I890" s="91"/>
      <c r="J890" s="91"/>
      <c r="K890" s="160"/>
      <c r="L890" s="160"/>
      <c r="M890" s="160"/>
      <c r="N890" s="160"/>
      <c r="O890" s="160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  <c r="AC890" s="91"/>
      <c r="AD890" s="91"/>
      <c r="AE890" s="91"/>
      <c r="AF890" s="91"/>
      <c r="AG890" s="91"/>
      <c r="AH890" s="91"/>
      <c r="AI890" s="91"/>
      <c r="AJ890" s="91"/>
      <c r="AK890" s="91"/>
      <c r="AL890" s="91"/>
      <c r="AM890" s="91"/>
      <c r="AN890" s="91"/>
    </row>
    <row r="891">
      <c r="A891" s="164"/>
      <c r="B891" s="165"/>
      <c r="C891" s="165"/>
      <c r="D891" s="164"/>
      <c r="E891" s="164"/>
      <c r="F891" s="164"/>
      <c r="G891" s="91"/>
      <c r="H891" s="91"/>
      <c r="I891" s="91"/>
      <c r="J891" s="91"/>
      <c r="K891" s="160"/>
      <c r="L891" s="160"/>
      <c r="M891" s="160"/>
      <c r="N891" s="160"/>
      <c r="O891" s="160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  <c r="AC891" s="91"/>
      <c r="AD891" s="91"/>
      <c r="AE891" s="91"/>
      <c r="AF891" s="91"/>
      <c r="AG891" s="91"/>
      <c r="AH891" s="91"/>
      <c r="AI891" s="91"/>
      <c r="AJ891" s="91"/>
      <c r="AK891" s="91"/>
      <c r="AL891" s="91"/>
      <c r="AM891" s="91"/>
      <c r="AN891" s="91"/>
    </row>
    <row r="892">
      <c r="A892" s="164"/>
      <c r="B892" s="165"/>
      <c r="C892" s="165"/>
      <c r="D892" s="164"/>
      <c r="E892" s="164"/>
      <c r="F892" s="164"/>
      <c r="G892" s="91"/>
      <c r="H892" s="91"/>
      <c r="I892" s="91"/>
      <c r="J892" s="91"/>
      <c r="K892" s="160"/>
      <c r="L892" s="160"/>
      <c r="M892" s="160"/>
      <c r="N892" s="160"/>
      <c r="O892" s="160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  <c r="AC892" s="91"/>
      <c r="AD892" s="91"/>
      <c r="AE892" s="91"/>
      <c r="AF892" s="91"/>
      <c r="AG892" s="91"/>
      <c r="AH892" s="91"/>
      <c r="AI892" s="91"/>
      <c r="AJ892" s="91"/>
      <c r="AK892" s="91"/>
      <c r="AL892" s="91"/>
      <c r="AM892" s="91"/>
      <c r="AN892" s="91"/>
    </row>
    <row r="893">
      <c r="A893" s="164"/>
      <c r="B893" s="165"/>
      <c r="C893" s="165"/>
      <c r="D893" s="164"/>
      <c r="E893" s="164"/>
      <c r="F893" s="164"/>
      <c r="G893" s="91"/>
      <c r="H893" s="91"/>
      <c r="I893" s="91"/>
      <c r="J893" s="91"/>
      <c r="K893" s="160"/>
      <c r="L893" s="160"/>
      <c r="M893" s="160"/>
      <c r="N893" s="160"/>
      <c r="O893" s="160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  <c r="AC893" s="91"/>
      <c r="AD893" s="91"/>
      <c r="AE893" s="91"/>
      <c r="AF893" s="91"/>
      <c r="AG893" s="91"/>
      <c r="AH893" s="91"/>
      <c r="AI893" s="91"/>
      <c r="AJ893" s="91"/>
      <c r="AK893" s="91"/>
      <c r="AL893" s="91"/>
      <c r="AM893" s="91"/>
      <c r="AN893" s="91"/>
    </row>
    <row r="894">
      <c r="A894" s="164"/>
      <c r="B894" s="165"/>
      <c r="C894" s="165"/>
      <c r="D894" s="164"/>
      <c r="E894" s="164"/>
      <c r="F894" s="164"/>
      <c r="G894" s="91"/>
      <c r="H894" s="91"/>
      <c r="I894" s="91"/>
      <c r="J894" s="91"/>
      <c r="K894" s="160"/>
      <c r="L894" s="160"/>
      <c r="M894" s="160"/>
      <c r="N894" s="160"/>
      <c r="O894" s="160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  <c r="AC894" s="91"/>
      <c r="AD894" s="91"/>
      <c r="AE894" s="91"/>
      <c r="AF894" s="91"/>
      <c r="AG894" s="91"/>
      <c r="AH894" s="91"/>
      <c r="AI894" s="91"/>
      <c r="AJ894" s="91"/>
      <c r="AK894" s="91"/>
      <c r="AL894" s="91"/>
      <c r="AM894" s="91"/>
      <c r="AN894" s="91"/>
    </row>
    <row r="895">
      <c r="A895" s="164"/>
      <c r="B895" s="165"/>
      <c r="C895" s="165"/>
      <c r="D895" s="164"/>
      <c r="E895" s="164"/>
      <c r="F895" s="164"/>
      <c r="G895" s="91"/>
      <c r="H895" s="91"/>
      <c r="I895" s="91"/>
      <c r="J895" s="91"/>
      <c r="K895" s="160"/>
      <c r="L895" s="160"/>
      <c r="M895" s="160"/>
      <c r="N895" s="160"/>
      <c r="O895" s="160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  <c r="AC895" s="91"/>
      <c r="AD895" s="91"/>
      <c r="AE895" s="91"/>
      <c r="AF895" s="91"/>
      <c r="AG895" s="91"/>
      <c r="AH895" s="91"/>
      <c r="AI895" s="91"/>
      <c r="AJ895" s="91"/>
      <c r="AK895" s="91"/>
      <c r="AL895" s="91"/>
      <c r="AM895" s="91"/>
      <c r="AN895" s="91"/>
    </row>
    <row r="896">
      <c r="A896" s="164"/>
      <c r="B896" s="165"/>
      <c r="C896" s="165"/>
      <c r="D896" s="164"/>
      <c r="E896" s="164"/>
      <c r="F896" s="164"/>
      <c r="G896" s="91"/>
      <c r="H896" s="91"/>
      <c r="I896" s="91"/>
      <c r="J896" s="91"/>
      <c r="K896" s="160"/>
      <c r="L896" s="160"/>
      <c r="M896" s="160"/>
      <c r="N896" s="160"/>
      <c r="O896" s="160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  <c r="AC896" s="91"/>
      <c r="AD896" s="91"/>
      <c r="AE896" s="91"/>
      <c r="AF896" s="91"/>
      <c r="AG896" s="91"/>
      <c r="AH896" s="91"/>
      <c r="AI896" s="91"/>
      <c r="AJ896" s="91"/>
      <c r="AK896" s="91"/>
      <c r="AL896" s="91"/>
      <c r="AM896" s="91"/>
      <c r="AN896" s="91"/>
    </row>
    <row r="897">
      <c r="A897" s="164"/>
      <c r="B897" s="165"/>
      <c r="C897" s="165"/>
      <c r="D897" s="164"/>
      <c r="E897" s="164"/>
      <c r="F897" s="164"/>
      <c r="G897" s="91"/>
      <c r="H897" s="91"/>
      <c r="I897" s="91"/>
      <c r="J897" s="91"/>
      <c r="K897" s="160"/>
      <c r="L897" s="160"/>
      <c r="M897" s="160"/>
      <c r="N897" s="160"/>
      <c r="O897" s="160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  <c r="AC897" s="91"/>
      <c r="AD897" s="91"/>
      <c r="AE897" s="91"/>
      <c r="AF897" s="91"/>
      <c r="AG897" s="91"/>
      <c r="AH897" s="91"/>
      <c r="AI897" s="91"/>
      <c r="AJ897" s="91"/>
      <c r="AK897" s="91"/>
      <c r="AL897" s="91"/>
      <c r="AM897" s="91"/>
      <c r="AN897" s="91"/>
    </row>
    <row r="898">
      <c r="A898" s="164"/>
      <c r="B898" s="165"/>
      <c r="C898" s="165"/>
      <c r="D898" s="164"/>
      <c r="E898" s="164"/>
      <c r="F898" s="164"/>
      <c r="G898" s="91"/>
      <c r="H898" s="91"/>
      <c r="I898" s="91"/>
      <c r="J898" s="91"/>
      <c r="K898" s="160"/>
      <c r="L898" s="160"/>
      <c r="M898" s="160"/>
      <c r="N898" s="160"/>
      <c r="O898" s="160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  <c r="AC898" s="91"/>
      <c r="AD898" s="91"/>
      <c r="AE898" s="91"/>
      <c r="AF898" s="91"/>
      <c r="AG898" s="91"/>
      <c r="AH898" s="91"/>
      <c r="AI898" s="91"/>
      <c r="AJ898" s="91"/>
      <c r="AK898" s="91"/>
      <c r="AL898" s="91"/>
      <c r="AM898" s="91"/>
      <c r="AN898" s="91"/>
    </row>
    <row r="899">
      <c r="A899" s="164"/>
      <c r="B899" s="165"/>
      <c r="C899" s="165"/>
      <c r="D899" s="164"/>
      <c r="E899" s="164"/>
      <c r="F899" s="164"/>
      <c r="G899" s="91"/>
      <c r="H899" s="91"/>
      <c r="I899" s="91"/>
      <c r="J899" s="91"/>
      <c r="K899" s="160"/>
      <c r="L899" s="160"/>
      <c r="M899" s="160"/>
      <c r="N899" s="160"/>
      <c r="O899" s="160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  <c r="AC899" s="91"/>
      <c r="AD899" s="91"/>
      <c r="AE899" s="91"/>
      <c r="AF899" s="91"/>
      <c r="AG899" s="91"/>
      <c r="AH899" s="91"/>
      <c r="AI899" s="91"/>
      <c r="AJ899" s="91"/>
      <c r="AK899" s="91"/>
      <c r="AL899" s="91"/>
      <c r="AM899" s="91"/>
      <c r="AN899" s="91"/>
    </row>
    <row r="900">
      <c r="A900" s="164"/>
      <c r="B900" s="165"/>
      <c r="C900" s="165"/>
      <c r="D900" s="164"/>
      <c r="E900" s="164"/>
      <c r="F900" s="164"/>
      <c r="G900" s="91"/>
      <c r="H900" s="91"/>
      <c r="I900" s="91"/>
      <c r="J900" s="91"/>
      <c r="K900" s="160"/>
      <c r="L900" s="160"/>
      <c r="M900" s="160"/>
      <c r="N900" s="160"/>
      <c r="O900" s="160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  <c r="AC900" s="91"/>
      <c r="AD900" s="91"/>
      <c r="AE900" s="91"/>
      <c r="AF900" s="91"/>
      <c r="AG900" s="91"/>
      <c r="AH900" s="91"/>
      <c r="AI900" s="91"/>
      <c r="AJ900" s="91"/>
      <c r="AK900" s="91"/>
      <c r="AL900" s="91"/>
      <c r="AM900" s="91"/>
      <c r="AN900" s="91"/>
    </row>
    <row r="901">
      <c r="A901" s="164"/>
      <c r="B901" s="165"/>
      <c r="C901" s="165"/>
      <c r="D901" s="164"/>
      <c r="E901" s="164"/>
      <c r="F901" s="164"/>
      <c r="G901" s="91"/>
      <c r="H901" s="91"/>
      <c r="I901" s="91"/>
      <c r="J901" s="91"/>
      <c r="K901" s="160"/>
      <c r="L901" s="160"/>
      <c r="M901" s="160"/>
      <c r="N901" s="160"/>
      <c r="O901" s="160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  <c r="AC901" s="91"/>
      <c r="AD901" s="91"/>
      <c r="AE901" s="91"/>
      <c r="AF901" s="91"/>
      <c r="AG901" s="91"/>
      <c r="AH901" s="91"/>
      <c r="AI901" s="91"/>
      <c r="AJ901" s="91"/>
      <c r="AK901" s="91"/>
      <c r="AL901" s="91"/>
      <c r="AM901" s="91"/>
      <c r="AN901" s="91"/>
    </row>
    <row r="902">
      <c r="A902" s="164"/>
      <c r="B902" s="165"/>
      <c r="C902" s="165"/>
      <c r="D902" s="164"/>
      <c r="E902" s="164"/>
      <c r="F902" s="164"/>
      <c r="G902" s="91"/>
      <c r="H902" s="91"/>
      <c r="I902" s="91"/>
      <c r="J902" s="91"/>
      <c r="K902" s="160"/>
      <c r="L902" s="160"/>
      <c r="M902" s="160"/>
      <c r="N902" s="160"/>
      <c r="O902" s="160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  <c r="AC902" s="91"/>
      <c r="AD902" s="91"/>
      <c r="AE902" s="91"/>
      <c r="AF902" s="91"/>
      <c r="AG902" s="91"/>
      <c r="AH902" s="91"/>
      <c r="AI902" s="91"/>
      <c r="AJ902" s="91"/>
      <c r="AK902" s="91"/>
      <c r="AL902" s="91"/>
      <c r="AM902" s="91"/>
      <c r="AN902" s="91"/>
    </row>
    <row r="903">
      <c r="A903" s="164"/>
      <c r="B903" s="165"/>
      <c r="C903" s="165"/>
      <c r="D903" s="164"/>
      <c r="E903" s="164"/>
      <c r="F903" s="164"/>
      <c r="G903" s="91"/>
      <c r="H903" s="91"/>
      <c r="I903" s="91"/>
      <c r="J903" s="91"/>
      <c r="K903" s="160"/>
      <c r="L903" s="160"/>
      <c r="M903" s="160"/>
      <c r="N903" s="160"/>
      <c r="O903" s="160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  <c r="AC903" s="91"/>
      <c r="AD903" s="91"/>
      <c r="AE903" s="91"/>
      <c r="AF903" s="91"/>
      <c r="AG903" s="91"/>
      <c r="AH903" s="91"/>
      <c r="AI903" s="91"/>
      <c r="AJ903" s="91"/>
      <c r="AK903" s="91"/>
      <c r="AL903" s="91"/>
      <c r="AM903" s="91"/>
      <c r="AN903" s="91"/>
    </row>
    <row r="904">
      <c r="A904" s="164"/>
      <c r="B904" s="165"/>
      <c r="C904" s="165"/>
      <c r="D904" s="164"/>
      <c r="E904" s="164"/>
      <c r="F904" s="164"/>
      <c r="G904" s="91"/>
      <c r="H904" s="91"/>
      <c r="I904" s="91"/>
      <c r="J904" s="91"/>
      <c r="K904" s="160"/>
      <c r="L904" s="160"/>
      <c r="M904" s="160"/>
      <c r="N904" s="160"/>
      <c r="O904" s="160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  <c r="AC904" s="91"/>
      <c r="AD904" s="91"/>
      <c r="AE904" s="91"/>
      <c r="AF904" s="91"/>
      <c r="AG904" s="91"/>
      <c r="AH904" s="91"/>
      <c r="AI904" s="91"/>
      <c r="AJ904" s="91"/>
      <c r="AK904" s="91"/>
      <c r="AL904" s="91"/>
      <c r="AM904" s="91"/>
      <c r="AN904" s="91"/>
    </row>
    <row r="905">
      <c r="A905" s="164"/>
      <c r="B905" s="165"/>
      <c r="C905" s="165"/>
      <c r="D905" s="164"/>
      <c r="E905" s="164"/>
      <c r="F905" s="164"/>
      <c r="G905" s="91"/>
      <c r="H905" s="91"/>
      <c r="I905" s="91"/>
      <c r="J905" s="91"/>
      <c r="K905" s="160"/>
      <c r="L905" s="160"/>
      <c r="M905" s="160"/>
      <c r="N905" s="160"/>
      <c r="O905" s="160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  <c r="AC905" s="91"/>
      <c r="AD905" s="91"/>
      <c r="AE905" s="91"/>
      <c r="AF905" s="91"/>
      <c r="AG905" s="91"/>
      <c r="AH905" s="91"/>
      <c r="AI905" s="91"/>
      <c r="AJ905" s="91"/>
      <c r="AK905" s="91"/>
      <c r="AL905" s="91"/>
      <c r="AM905" s="91"/>
      <c r="AN905" s="91"/>
    </row>
    <row r="906">
      <c r="A906" s="164"/>
      <c r="B906" s="165"/>
      <c r="C906" s="165"/>
      <c r="D906" s="164"/>
      <c r="E906" s="164"/>
      <c r="F906" s="164"/>
      <c r="G906" s="91"/>
      <c r="H906" s="91"/>
      <c r="I906" s="91"/>
      <c r="J906" s="91"/>
      <c r="K906" s="160"/>
      <c r="L906" s="160"/>
      <c r="M906" s="160"/>
      <c r="N906" s="160"/>
      <c r="O906" s="160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  <c r="AC906" s="91"/>
      <c r="AD906" s="91"/>
      <c r="AE906" s="91"/>
      <c r="AF906" s="91"/>
      <c r="AG906" s="91"/>
      <c r="AH906" s="91"/>
      <c r="AI906" s="91"/>
      <c r="AJ906" s="91"/>
      <c r="AK906" s="91"/>
      <c r="AL906" s="91"/>
      <c r="AM906" s="91"/>
      <c r="AN906" s="91"/>
    </row>
    <row r="907">
      <c r="A907" s="164"/>
      <c r="B907" s="165"/>
      <c r="C907" s="165"/>
      <c r="D907" s="164"/>
      <c r="E907" s="164"/>
      <c r="F907" s="164"/>
      <c r="G907" s="91"/>
      <c r="H907" s="91"/>
      <c r="I907" s="91"/>
      <c r="J907" s="91"/>
      <c r="K907" s="160"/>
      <c r="L907" s="160"/>
      <c r="M907" s="160"/>
      <c r="N907" s="160"/>
      <c r="O907" s="160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  <c r="AC907" s="91"/>
      <c r="AD907" s="91"/>
      <c r="AE907" s="91"/>
      <c r="AF907" s="91"/>
      <c r="AG907" s="91"/>
      <c r="AH907" s="91"/>
      <c r="AI907" s="91"/>
      <c r="AJ907" s="91"/>
      <c r="AK907" s="91"/>
      <c r="AL907" s="91"/>
      <c r="AM907" s="91"/>
      <c r="AN907" s="91"/>
    </row>
    <row r="908">
      <c r="A908" s="164"/>
      <c r="B908" s="165"/>
      <c r="C908" s="165"/>
      <c r="D908" s="164"/>
      <c r="E908" s="164"/>
      <c r="F908" s="164"/>
      <c r="G908" s="91"/>
      <c r="H908" s="91"/>
      <c r="I908" s="91"/>
      <c r="J908" s="91"/>
      <c r="K908" s="160"/>
      <c r="L908" s="160"/>
      <c r="M908" s="160"/>
      <c r="N908" s="160"/>
      <c r="O908" s="160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  <c r="AC908" s="91"/>
      <c r="AD908" s="91"/>
      <c r="AE908" s="91"/>
      <c r="AF908" s="91"/>
      <c r="AG908" s="91"/>
      <c r="AH908" s="91"/>
      <c r="AI908" s="91"/>
      <c r="AJ908" s="91"/>
      <c r="AK908" s="91"/>
      <c r="AL908" s="91"/>
      <c r="AM908" s="91"/>
      <c r="AN908" s="91"/>
    </row>
    <row r="909">
      <c r="A909" s="164"/>
      <c r="B909" s="165"/>
      <c r="C909" s="165"/>
      <c r="D909" s="164"/>
      <c r="E909" s="164"/>
      <c r="F909" s="164"/>
      <c r="G909" s="91"/>
      <c r="H909" s="91"/>
      <c r="I909" s="91"/>
      <c r="J909" s="91"/>
      <c r="K909" s="160"/>
      <c r="L909" s="160"/>
      <c r="M909" s="160"/>
      <c r="N909" s="160"/>
      <c r="O909" s="160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  <c r="AC909" s="91"/>
      <c r="AD909" s="91"/>
      <c r="AE909" s="91"/>
      <c r="AF909" s="91"/>
      <c r="AG909" s="91"/>
      <c r="AH909" s="91"/>
      <c r="AI909" s="91"/>
      <c r="AJ909" s="91"/>
      <c r="AK909" s="91"/>
      <c r="AL909" s="91"/>
      <c r="AM909" s="91"/>
      <c r="AN909" s="91"/>
    </row>
    <row r="910">
      <c r="A910" s="164"/>
      <c r="B910" s="165"/>
      <c r="C910" s="165"/>
      <c r="D910" s="164"/>
      <c r="E910" s="164"/>
      <c r="F910" s="164"/>
      <c r="G910" s="91"/>
      <c r="H910" s="91"/>
      <c r="I910" s="91"/>
      <c r="J910" s="91"/>
      <c r="K910" s="160"/>
      <c r="L910" s="160"/>
      <c r="M910" s="160"/>
      <c r="N910" s="160"/>
      <c r="O910" s="160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  <c r="AC910" s="91"/>
      <c r="AD910" s="91"/>
      <c r="AE910" s="91"/>
      <c r="AF910" s="91"/>
      <c r="AG910" s="91"/>
      <c r="AH910" s="91"/>
      <c r="AI910" s="91"/>
      <c r="AJ910" s="91"/>
      <c r="AK910" s="91"/>
      <c r="AL910" s="91"/>
      <c r="AM910" s="91"/>
      <c r="AN910" s="91"/>
    </row>
    <row r="911">
      <c r="A911" s="164"/>
      <c r="B911" s="165"/>
      <c r="C911" s="165"/>
      <c r="D911" s="164"/>
      <c r="E911" s="164"/>
      <c r="F911" s="164"/>
      <c r="G911" s="91"/>
      <c r="H911" s="91"/>
      <c r="I911" s="91"/>
      <c r="J911" s="91"/>
      <c r="K911" s="160"/>
      <c r="L911" s="160"/>
      <c r="M911" s="160"/>
      <c r="N911" s="160"/>
      <c r="O911" s="160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  <c r="AC911" s="91"/>
      <c r="AD911" s="91"/>
      <c r="AE911" s="91"/>
      <c r="AF911" s="91"/>
      <c r="AG911" s="91"/>
      <c r="AH911" s="91"/>
      <c r="AI911" s="91"/>
      <c r="AJ911" s="91"/>
      <c r="AK911" s="91"/>
      <c r="AL911" s="91"/>
      <c r="AM911" s="91"/>
      <c r="AN911" s="91"/>
    </row>
    <row r="912">
      <c r="A912" s="164"/>
      <c r="B912" s="165"/>
      <c r="C912" s="165"/>
      <c r="D912" s="164"/>
      <c r="E912" s="164"/>
      <c r="F912" s="164"/>
      <c r="G912" s="91"/>
      <c r="H912" s="91"/>
      <c r="I912" s="91"/>
      <c r="J912" s="91"/>
      <c r="K912" s="160"/>
      <c r="L912" s="160"/>
      <c r="M912" s="160"/>
      <c r="N912" s="160"/>
      <c r="O912" s="160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  <c r="AC912" s="91"/>
      <c r="AD912" s="91"/>
      <c r="AE912" s="91"/>
      <c r="AF912" s="91"/>
      <c r="AG912" s="91"/>
      <c r="AH912" s="91"/>
      <c r="AI912" s="91"/>
      <c r="AJ912" s="91"/>
      <c r="AK912" s="91"/>
      <c r="AL912" s="91"/>
      <c r="AM912" s="91"/>
      <c r="AN912" s="91"/>
    </row>
    <row r="913">
      <c r="A913" s="164"/>
      <c r="B913" s="165"/>
      <c r="C913" s="165"/>
      <c r="D913" s="164"/>
      <c r="E913" s="164"/>
      <c r="F913" s="164"/>
      <c r="G913" s="91"/>
      <c r="H913" s="91"/>
      <c r="I913" s="91"/>
      <c r="J913" s="91"/>
      <c r="K913" s="160"/>
      <c r="L913" s="160"/>
      <c r="M913" s="160"/>
      <c r="N913" s="160"/>
      <c r="O913" s="160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  <c r="AC913" s="91"/>
      <c r="AD913" s="91"/>
      <c r="AE913" s="91"/>
      <c r="AF913" s="91"/>
      <c r="AG913" s="91"/>
      <c r="AH913" s="91"/>
      <c r="AI913" s="91"/>
      <c r="AJ913" s="91"/>
      <c r="AK913" s="91"/>
      <c r="AL913" s="91"/>
      <c r="AM913" s="91"/>
      <c r="AN913" s="91"/>
    </row>
    <row r="914">
      <c r="A914" s="164"/>
      <c r="B914" s="165"/>
      <c r="C914" s="165"/>
      <c r="D914" s="164"/>
      <c r="E914" s="164"/>
      <c r="F914" s="164"/>
      <c r="G914" s="91"/>
      <c r="H914" s="91"/>
      <c r="I914" s="91"/>
      <c r="J914" s="91"/>
      <c r="K914" s="160"/>
      <c r="L914" s="160"/>
      <c r="M914" s="160"/>
      <c r="N914" s="160"/>
      <c r="O914" s="160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  <c r="AC914" s="91"/>
      <c r="AD914" s="91"/>
      <c r="AE914" s="91"/>
      <c r="AF914" s="91"/>
      <c r="AG914" s="91"/>
      <c r="AH914" s="91"/>
      <c r="AI914" s="91"/>
      <c r="AJ914" s="91"/>
      <c r="AK914" s="91"/>
      <c r="AL914" s="91"/>
      <c r="AM914" s="91"/>
      <c r="AN914" s="91"/>
    </row>
    <row r="915">
      <c r="A915" s="164"/>
      <c r="B915" s="165"/>
      <c r="C915" s="165"/>
      <c r="D915" s="164"/>
      <c r="E915" s="164"/>
      <c r="F915" s="164"/>
      <c r="G915" s="91"/>
      <c r="H915" s="91"/>
      <c r="I915" s="91"/>
      <c r="J915" s="91"/>
      <c r="K915" s="160"/>
      <c r="L915" s="160"/>
      <c r="M915" s="160"/>
      <c r="N915" s="160"/>
      <c r="O915" s="160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  <c r="AC915" s="91"/>
      <c r="AD915" s="91"/>
      <c r="AE915" s="91"/>
      <c r="AF915" s="91"/>
      <c r="AG915" s="91"/>
      <c r="AH915" s="91"/>
      <c r="AI915" s="91"/>
      <c r="AJ915" s="91"/>
      <c r="AK915" s="91"/>
      <c r="AL915" s="91"/>
      <c r="AM915" s="91"/>
      <c r="AN915" s="91"/>
    </row>
    <row r="916">
      <c r="A916" s="164"/>
      <c r="B916" s="165"/>
      <c r="C916" s="165"/>
      <c r="D916" s="164"/>
      <c r="E916" s="164"/>
      <c r="F916" s="164"/>
      <c r="G916" s="91"/>
      <c r="H916" s="91"/>
      <c r="I916" s="91"/>
      <c r="J916" s="91"/>
      <c r="K916" s="160"/>
      <c r="L916" s="160"/>
      <c r="M916" s="160"/>
      <c r="N916" s="160"/>
      <c r="O916" s="160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  <c r="AC916" s="91"/>
      <c r="AD916" s="91"/>
      <c r="AE916" s="91"/>
      <c r="AF916" s="91"/>
      <c r="AG916" s="91"/>
      <c r="AH916" s="91"/>
      <c r="AI916" s="91"/>
      <c r="AJ916" s="91"/>
      <c r="AK916" s="91"/>
      <c r="AL916" s="91"/>
      <c r="AM916" s="91"/>
      <c r="AN916" s="91"/>
    </row>
    <row r="917">
      <c r="A917" s="164"/>
      <c r="B917" s="165"/>
      <c r="C917" s="165"/>
      <c r="D917" s="164"/>
      <c r="E917" s="164"/>
      <c r="F917" s="164"/>
      <c r="G917" s="91"/>
      <c r="H917" s="91"/>
      <c r="I917" s="91"/>
      <c r="J917" s="91"/>
      <c r="K917" s="160"/>
      <c r="L917" s="160"/>
      <c r="M917" s="160"/>
      <c r="N917" s="160"/>
      <c r="O917" s="160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  <c r="AC917" s="91"/>
      <c r="AD917" s="91"/>
      <c r="AE917" s="91"/>
      <c r="AF917" s="91"/>
      <c r="AG917" s="91"/>
      <c r="AH917" s="91"/>
      <c r="AI917" s="91"/>
      <c r="AJ917" s="91"/>
      <c r="AK917" s="91"/>
      <c r="AL917" s="91"/>
      <c r="AM917" s="91"/>
      <c r="AN917" s="91"/>
    </row>
    <row r="918">
      <c r="A918" s="164"/>
      <c r="B918" s="165"/>
      <c r="C918" s="165"/>
      <c r="D918" s="164"/>
      <c r="E918" s="164"/>
      <c r="F918" s="164"/>
      <c r="G918" s="91"/>
      <c r="H918" s="91"/>
      <c r="I918" s="91"/>
      <c r="J918" s="91"/>
      <c r="K918" s="160"/>
      <c r="L918" s="160"/>
      <c r="M918" s="160"/>
      <c r="N918" s="160"/>
      <c r="O918" s="160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  <c r="AC918" s="91"/>
      <c r="AD918" s="91"/>
      <c r="AE918" s="91"/>
      <c r="AF918" s="91"/>
      <c r="AG918" s="91"/>
      <c r="AH918" s="91"/>
      <c r="AI918" s="91"/>
      <c r="AJ918" s="91"/>
      <c r="AK918" s="91"/>
      <c r="AL918" s="91"/>
      <c r="AM918" s="91"/>
      <c r="AN918" s="91"/>
    </row>
    <row r="919">
      <c r="A919" s="164"/>
      <c r="B919" s="165"/>
      <c r="C919" s="165"/>
      <c r="D919" s="164"/>
      <c r="E919" s="164"/>
      <c r="F919" s="164"/>
      <c r="G919" s="91"/>
      <c r="H919" s="91"/>
      <c r="I919" s="91"/>
      <c r="J919" s="91"/>
      <c r="K919" s="160"/>
      <c r="L919" s="160"/>
      <c r="M919" s="160"/>
      <c r="N919" s="160"/>
      <c r="O919" s="160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  <c r="AC919" s="91"/>
      <c r="AD919" s="91"/>
      <c r="AE919" s="91"/>
      <c r="AF919" s="91"/>
      <c r="AG919" s="91"/>
      <c r="AH919" s="91"/>
      <c r="AI919" s="91"/>
      <c r="AJ919" s="91"/>
      <c r="AK919" s="91"/>
      <c r="AL919" s="91"/>
      <c r="AM919" s="91"/>
      <c r="AN919" s="91"/>
    </row>
    <row r="920">
      <c r="A920" s="164"/>
      <c r="B920" s="165"/>
      <c r="C920" s="165"/>
      <c r="D920" s="164"/>
      <c r="E920" s="164"/>
      <c r="F920" s="164"/>
      <c r="G920" s="91"/>
      <c r="H920" s="91"/>
      <c r="I920" s="91"/>
      <c r="J920" s="91"/>
      <c r="K920" s="160"/>
      <c r="L920" s="160"/>
      <c r="M920" s="160"/>
      <c r="N920" s="160"/>
      <c r="O920" s="160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  <c r="AC920" s="91"/>
      <c r="AD920" s="91"/>
      <c r="AE920" s="91"/>
      <c r="AF920" s="91"/>
      <c r="AG920" s="91"/>
      <c r="AH920" s="91"/>
      <c r="AI920" s="91"/>
      <c r="AJ920" s="91"/>
      <c r="AK920" s="91"/>
      <c r="AL920" s="91"/>
      <c r="AM920" s="91"/>
      <c r="AN920" s="91"/>
    </row>
    <row r="921">
      <c r="A921" s="164"/>
      <c r="B921" s="165"/>
      <c r="C921" s="165"/>
      <c r="D921" s="164"/>
      <c r="E921" s="164"/>
      <c r="F921" s="164"/>
      <c r="G921" s="91"/>
      <c r="H921" s="91"/>
      <c r="I921" s="91"/>
      <c r="J921" s="91"/>
      <c r="K921" s="160"/>
      <c r="L921" s="160"/>
      <c r="M921" s="160"/>
      <c r="N921" s="160"/>
      <c r="O921" s="160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  <c r="AC921" s="91"/>
      <c r="AD921" s="91"/>
      <c r="AE921" s="91"/>
      <c r="AF921" s="91"/>
      <c r="AG921" s="91"/>
      <c r="AH921" s="91"/>
      <c r="AI921" s="91"/>
      <c r="AJ921" s="91"/>
      <c r="AK921" s="91"/>
      <c r="AL921" s="91"/>
      <c r="AM921" s="91"/>
      <c r="AN921" s="91"/>
    </row>
    <row r="922">
      <c r="A922" s="164"/>
      <c r="B922" s="165"/>
      <c r="C922" s="165"/>
      <c r="D922" s="164"/>
      <c r="E922" s="164"/>
      <c r="F922" s="164"/>
      <c r="G922" s="91"/>
      <c r="H922" s="91"/>
      <c r="I922" s="91"/>
      <c r="J922" s="91"/>
      <c r="K922" s="160"/>
      <c r="L922" s="160"/>
      <c r="M922" s="160"/>
      <c r="N922" s="160"/>
      <c r="O922" s="160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  <c r="AC922" s="91"/>
      <c r="AD922" s="91"/>
      <c r="AE922" s="91"/>
      <c r="AF922" s="91"/>
      <c r="AG922" s="91"/>
      <c r="AH922" s="91"/>
      <c r="AI922" s="91"/>
      <c r="AJ922" s="91"/>
      <c r="AK922" s="91"/>
      <c r="AL922" s="91"/>
      <c r="AM922" s="91"/>
      <c r="AN922" s="91"/>
    </row>
    <row r="923">
      <c r="A923" s="164"/>
      <c r="B923" s="165"/>
      <c r="C923" s="165"/>
      <c r="D923" s="164"/>
      <c r="E923" s="164"/>
      <c r="F923" s="164"/>
      <c r="G923" s="91"/>
      <c r="H923" s="91"/>
      <c r="I923" s="91"/>
      <c r="J923" s="91"/>
      <c r="K923" s="160"/>
      <c r="L923" s="160"/>
      <c r="M923" s="160"/>
      <c r="N923" s="160"/>
      <c r="O923" s="160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  <c r="AC923" s="91"/>
      <c r="AD923" s="91"/>
      <c r="AE923" s="91"/>
      <c r="AF923" s="91"/>
      <c r="AG923" s="91"/>
      <c r="AH923" s="91"/>
      <c r="AI923" s="91"/>
      <c r="AJ923" s="91"/>
      <c r="AK923" s="91"/>
      <c r="AL923" s="91"/>
      <c r="AM923" s="91"/>
      <c r="AN923" s="91"/>
    </row>
    <row r="924">
      <c r="A924" s="164"/>
      <c r="B924" s="165"/>
      <c r="C924" s="165"/>
      <c r="D924" s="164"/>
      <c r="E924" s="164"/>
      <c r="F924" s="164"/>
      <c r="G924" s="91"/>
      <c r="H924" s="91"/>
      <c r="I924" s="91"/>
      <c r="J924" s="91"/>
      <c r="K924" s="160"/>
      <c r="L924" s="160"/>
      <c r="M924" s="160"/>
      <c r="N924" s="160"/>
      <c r="O924" s="160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  <c r="AC924" s="91"/>
      <c r="AD924" s="91"/>
      <c r="AE924" s="91"/>
      <c r="AF924" s="91"/>
      <c r="AG924" s="91"/>
      <c r="AH924" s="91"/>
      <c r="AI924" s="91"/>
      <c r="AJ924" s="91"/>
      <c r="AK924" s="91"/>
      <c r="AL924" s="91"/>
      <c r="AM924" s="91"/>
      <c r="AN924" s="91"/>
    </row>
    <row r="925">
      <c r="A925" s="164"/>
      <c r="B925" s="165"/>
      <c r="C925" s="165"/>
      <c r="D925" s="164"/>
      <c r="E925" s="164"/>
      <c r="F925" s="164"/>
      <c r="G925" s="91"/>
      <c r="H925" s="91"/>
      <c r="I925" s="91"/>
      <c r="J925" s="91"/>
      <c r="K925" s="160"/>
      <c r="L925" s="160"/>
      <c r="M925" s="160"/>
      <c r="N925" s="160"/>
      <c r="O925" s="160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  <c r="AC925" s="91"/>
      <c r="AD925" s="91"/>
      <c r="AE925" s="91"/>
      <c r="AF925" s="91"/>
      <c r="AG925" s="91"/>
      <c r="AH925" s="91"/>
      <c r="AI925" s="91"/>
      <c r="AJ925" s="91"/>
      <c r="AK925" s="91"/>
      <c r="AL925" s="91"/>
      <c r="AM925" s="91"/>
      <c r="AN925" s="91"/>
    </row>
    <row r="926">
      <c r="A926" s="164"/>
      <c r="B926" s="165"/>
      <c r="C926" s="165"/>
      <c r="D926" s="164"/>
      <c r="E926" s="164"/>
      <c r="F926" s="164"/>
      <c r="G926" s="91"/>
      <c r="H926" s="91"/>
      <c r="I926" s="91"/>
      <c r="J926" s="91"/>
      <c r="K926" s="160"/>
      <c r="L926" s="160"/>
      <c r="M926" s="160"/>
      <c r="N926" s="160"/>
      <c r="O926" s="160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  <c r="AC926" s="91"/>
      <c r="AD926" s="91"/>
      <c r="AE926" s="91"/>
      <c r="AF926" s="91"/>
      <c r="AG926" s="91"/>
      <c r="AH926" s="91"/>
      <c r="AI926" s="91"/>
      <c r="AJ926" s="91"/>
      <c r="AK926" s="91"/>
      <c r="AL926" s="91"/>
      <c r="AM926" s="91"/>
      <c r="AN926" s="91"/>
    </row>
    <row r="927">
      <c r="A927" s="164"/>
      <c r="B927" s="165"/>
      <c r="C927" s="165"/>
      <c r="D927" s="164"/>
      <c r="E927" s="164"/>
      <c r="F927" s="164"/>
      <c r="G927" s="91"/>
      <c r="H927" s="91"/>
      <c r="I927" s="91"/>
      <c r="J927" s="91"/>
      <c r="K927" s="160"/>
      <c r="L927" s="160"/>
      <c r="M927" s="160"/>
      <c r="N927" s="160"/>
      <c r="O927" s="160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  <c r="AC927" s="91"/>
      <c r="AD927" s="91"/>
      <c r="AE927" s="91"/>
      <c r="AF927" s="91"/>
      <c r="AG927" s="91"/>
      <c r="AH927" s="91"/>
      <c r="AI927" s="91"/>
      <c r="AJ927" s="91"/>
      <c r="AK927" s="91"/>
      <c r="AL927" s="91"/>
      <c r="AM927" s="91"/>
      <c r="AN927" s="91"/>
    </row>
    <row r="928">
      <c r="A928" s="164"/>
      <c r="B928" s="165"/>
      <c r="C928" s="165"/>
      <c r="D928" s="164"/>
      <c r="E928" s="164"/>
      <c r="F928" s="164"/>
      <c r="G928" s="91"/>
      <c r="H928" s="91"/>
      <c r="I928" s="91"/>
      <c r="J928" s="91"/>
      <c r="K928" s="160"/>
      <c r="L928" s="160"/>
      <c r="M928" s="160"/>
      <c r="N928" s="160"/>
      <c r="O928" s="160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  <c r="AC928" s="91"/>
      <c r="AD928" s="91"/>
      <c r="AE928" s="91"/>
      <c r="AF928" s="91"/>
      <c r="AG928" s="91"/>
      <c r="AH928" s="91"/>
      <c r="AI928" s="91"/>
      <c r="AJ928" s="91"/>
      <c r="AK928" s="91"/>
      <c r="AL928" s="91"/>
      <c r="AM928" s="91"/>
      <c r="AN928" s="91"/>
    </row>
    <row r="929">
      <c r="A929" s="164"/>
      <c r="B929" s="165"/>
      <c r="C929" s="165"/>
      <c r="D929" s="164"/>
      <c r="E929" s="164"/>
      <c r="F929" s="164"/>
      <c r="G929" s="91"/>
      <c r="H929" s="91"/>
      <c r="I929" s="91"/>
      <c r="J929" s="91"/>
      <c r="K929" s="160"/>
      <c r="L929" s="160"/>
      <c r="M929" s="160"/>
      <c r="N929" s="160"/>
      <c r="O929" s="160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  <c r="AC929" s="91"/>
      <c r="AD929" s="91"/>
      <c r="AE929" s="91"/>
      <c r="AF929" s="91"/>
      <c r="AG929" s="91"/>
      <c r="AH929" s="91"/>
      <c r="AI929" s="91"/>
      <c r="AJ929" s="91"/>
      <c r="AK929" s="91"/>
      <c r="AL929" s="91"/>
      <c r="AM929" s="91"/>
      <c r="AN929" s="91"/>
    </row>
    <row r="930">
      <c r="A930" s="164"/>
      <c r="B930" s="165"/>
      <c r="C930" s="165"/>
      <c r="D930" s="164"/>
      <c r="E930" s="164"/>
      <c r="F930" s="164"/>
      <c r="G930" s="91"/>
      <c r="H930" s="91"/>
      <c r="I930" s="91"/>
      <c r="J930" s="91"/>
      <c r="K930" s="160"/>
      <c r="L930" s="160"/>
      <c r="M930" s="160"/>
      <c r="N930" s="160"/>
      <c r="O930" s="160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  <c r="AC930" s="91"/>
      <c r="AD930" s="91"/>
      <c r="AE930" s="91"/>
      <c r="AF930" s="91"/>
      <c r="AG930" s="91"/>
      <c r="AH930" s="91"/>
      <c r="AI930" s="91"/>
      <c r="AJ930" s="91"/>
      <c r="AK930" s="91"/>
      <c r="AL930" s="91"/>
      <c r="AM930" s="91"/>
      <c r="AN930" s="91"/>
    </row>
    <row r="931">
      <c r="A931" s="164"/>
      <c r="B931" s="165"/>
      <c r="C931" s="165"/>
      <c r="D931" s="164"/>
      <c r="E931" s="164"/>
      <c r="F931" s="164"/>
      <c r="G931" s="91"/>
      <c r="H931" s="91"/>
      <c r="I931" s="91"/>
      <c r="J931" s="91"/>
      <c r="K931" s="160"/>
      <c r="L931" s="160"/>
      <c r="M931" s="160"/>
      <c r="N931" s="160"/>
      <c r="O931" s="160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  <c r="AC931" s="91"/>
      <c r="AD931" s="91"/>
      <c r="AE931" s="91"/>
      <c r="AF931" s="91"/>
      <c r="AG931" s="91"/>
      <c r="AH931" s="91"/>
      <c r="AI931" s="91"/>
      <c r="AJ931" s="91"/>
      <c r="AK931" s="91"/>
      <c r="AL931" s="91"/>
      <c r="AM931" s="91"/>
      <c r="AN931" s="91"/>
    </row>
    <row r="932">
      <c r="A932" s="164"/>
      <c r="B932" s="165"/>
      <c r="C932" s="165"/>
      <c r="D932" s="164"/>
      <c r="E932" s="164"/>
      <c r="F932" s="164"/>
      <c r="G932" s="91"/>
      <c r="H932" s="91"/>
      <c r="I932" s="91"/>
      <c r="J932" s="91"/>
      <c r="K932" s="160"/>
      <c r="L932" s="160"/>
      <c r="M932" s="160"/>
      <c r="N932" s="160"/>
      <c r="O932" s="160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  <c r="AC932" s="91"/>
      <c r="AD932" s="91"/>
      <c r="AE932" s="91"/>
      <c r="AF932" s="91"/>
      <c r="AG932" s="91"/>
      <c r="AH932" s="91"/>
      <c r="AI932" s="91"/>
      <c r="AJ932" s="91"/>
      <c r="AK932" s="91"/>
      <c r="AL932" s="91"/>
      <c r="AM932" s="91"/>
      <c r="AN932" s="91"/>
    </row>
    <row r="933">
      <c r="A933" s="164"/>
      <c r="B933" s="165"/>
      <c r="C933" s="165"/>
      <c r="D933" s="164"/>
      <c r="E933" s="164"/>
      <c r="F933" s="164"/>
      <c r="G933" s="91"/>
      <c r="H933" s="91"/>
      <c r="I933" s="91"/>
      <c r="J933" s="91"/>
      <c r="K933" s="160"/>
      <c r="L933" s="160"/>
      <c r="M933" s="160"/>
      <c r="N933" s="160"/>
      <c r="O933" s="160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  <c r="AC933" s="91"/>
      <c r="AD933" s="91"/>
      <c r="AE933" s="91"/>
      <c r="AF933" s="91"/>
      <c r="AG933" s="91"/>
      <c r="AH933" s="91"/>
      <c r="AI933" s="91"/>
      <c r="AJ933" s="91"/>
      <c r="AK933" s="91"/>
      <c r="AL933" s="91"/>
      <c r="AM933" s="91"/>
      <c r="AN933" s="91"/>
    </row>
    <row r="934">
      <c r="A934" s="164"/>
      <c r="B934" s="165"/>
      <c r="C934" s="165"/>
      <c r="D934" s="164"/>
      <c r="E934" s="164"/>
      <c r="F934" s="164"/>
      <c r="G934" s="91"/>
      <c r="H934" s="91"/>
      <c r="I934" s="91"/>
      <c r="J934" s="91"/>
      <c r="K934" s="160"/>
      <c r="L934" s="160"/>
      <c r="M934" s="160"/>
      <c r="N934" s="160"/>
      <c r="O934" s="160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  <c r="AC934" s="91"/>
      <c r="AD934" s="91"/>
      <c r="AE934" s="91"/>
      <c r="AF934" s="91"/>
      <c r="AG934" s="91"/>
      <c r="AH934" s="91"/>
      <c r="AI934" s="91"/>
      <c r="AJ934" s="91"/>
      <c r="AK934" s="91"/>
      <c r="AL934" s="91"/>
      <c r="AM934" s="91"/>
      <c r="AN934" s="91"/>
    </row>
    <row r="935">
      <c r="A935" s="164"/>
      <c r="B935" s="165"/>
      <c r="C935" s="165"/>
      <c r="D935" s="164"/>
      <c r="E935" s="164"/>
      <c r="F935" s="164"/>
      <c r="G935" s="91"/>
      <c r="H935" s="91"/>
      <c r="I935" s="91"/>
      <c r="J935" s="91"/>
      <c r="K935" s="160"/>
      <c r="L935" s="160"/>
      <c r="M935" s="160"/>
      <c r="N935" s="160"/>
      <c r="O935" s="160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  <c r="AC935" s="91"/>
      <c r="AD935" s="91"/>
      <c r="AE935" s="91"/>
      <c r="AF935" s="91"/>
      <c r="AG935" s="91"/>
      <c r="AH935" s="91"/>
      <c r="AI935" s="91"/>
      <c r="AJ935" s="91"/>
      <c r="AK935" s="91"/>
      <c r="AL935" s="91"/>
      <c r="AM935" s="91"/>
      <c r="AN935" s="91"/>
    </row>
    <row r="936">
      <c r="A936" s="164"/>
      <c r="B936" s="165"/>
      <c r="C936" s="165"/>
      <c r="D936" s="164"/>
      <c r="E936" s="164"/>
      <c r="F936" s="164"/>
      <c r="G936" s="91"/>
      <c r="H936" s="91"/>
      <c r="I936" s="91"/>
      <c r="J936" s="91"/>
      <c r="K936" s="160"/>
      <c r="L936" s="160"/>
      <c r="M936" s="160"/>
      <c r="N936" s="160"/>
      <c r="O936" s="160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  <c r="AC936" s="91"/>
      <c r="AD936" s="91"/>
      <c r="AE936" s="91"/>
      <c r="AF936" s="91"/>
      <c r="AG936" s="91"/>
      <c r="AH936" s="91"/>
      <c r="AI936" s="91"/>
      <c r="AJ936" s="91"/>
      <c r="AK936" s="91"/>
      <c r="AL936" s="91"/>
      <c r="AM936" s="91"/>
      <c r="AN936" s="91"/>
    </row>
    <row r="937">
      <c r="A937" s="164"/>
      <c r="B937" s="165"/>
      <c r="C937" s="165"/>
      <c r="D937" s="164"/>
      <c r="E937" s="164"/>
      <c r="F937" s="164"/>
      <c r="G937" s="91"/>
      <c r="H937" s="91"/>
      <c r="I937" s="91"/>
      <c r="J937" s="91"/>
      <c r="K937" s="160"/>
      <c r="L937" s="160"/>
      <c r="M937" s="160"/>
      <c r="N937" s="160"/>
      <c r="O937" s="160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  <c r="AC937" s="91"/>
      <c r="AD937" s="91"/>
      <c r="AE937" s="91"/>
      <c r="AF937" s="91"/>
      <c r="AG937" s="91"/>
      <c r="AH937" s="91"/>
      <c r="AI937" s="91"/>
      <c r="AJ937" s="91"/>
      <c r="AK937" s="91"/>
      <c r="AL937" s="91"/>
      <c r="AM937" s="91"/>
      <c r="AN937" s="91"/>
    </row>
    <row r="938">
      <c r="A938" s="164"/>
      <c r="B938" s="165"/>
      <c r="C938" s="165"/>
      <c r="D938" s="164"/>
      <c r="E938" s="164"/>
      <c r="F938" s="164"/>
      <c r="G938" s="91"/>
      <c r="H938" s="91"/>
      <c r="I938" s="91"/>
      <c r="J938" s="91"/>
      <c r="K938" s="160"/>
      <c r="L938" s="160"/>
      <c r="M938" s="160"/>
      <c r="N938" s="160"/>
      <c r="O938" s="160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  <c r="AC938" s="91"/>
      <c r="AD938" s="91"/>
      <c r="AE938" s="91"/>
      <c r="AF938" s="91"/>
      <c r="AG938" s="91"/>
      <c r="AH938" s="91"/>
      <c r="AI938" s="91"/>
      <c r="AJ938" s="91"/>
      <c r="AK938" s="91"/>
      <c r="AL938" s="91"/>
      <c r="AM938" s="91"/>
      <c r="AN938" s="91"/>
    </row>
    <row r="939">
      <c r="A939" s="164"/>
      <c r="B939" s="165"/>
      <c r="C939" s="165"/>
      <c r="D939" s="164"/>
      <c r="E939" s="164"/>
      <c r="F939" s="164"/>
      <c r="G939" s="91"/>
      <c r="H939" s="91"/>
      <c r="I939" s="91"/>
      <c r="J939" s="91"/>
      <c r="K939" s="160"/>
      <c r="L939" s="160"/>
      <c r="M939" s="160"/>
      <c r="N939" s="160"/>
      <c r="O939" s="160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  <c r="AC939" s="91"/>
      <c r="AD939" s="91"/>
      <c r="AE939" s="91"/>
      <c r="AF939" s="91"/>
      <c r="AG939" s="91"/>
      <c r="AH939" s="91"/>
      <c r="AI939" s="91"/>
      <c r="AJ939" s="91"/>
      <c r="AK939" s="91"/>
      <c r="AL939" s="91"/>
      <c r="AM939" s="91"/>
      <c r="AN939" s="91"/>
    </row>
    <row r="940">
      <c r="A940" s="164"/>
      <c r="B940" s="165"/>
      <c r="C940" s="165"/>
      <c r="D940" s="164"/>
      <c r="E940" s="164"/>
      <c r="F940" s="164"/>
      <c r="G940" s="91"/>
      <c r="H940" s="91"/>
      <c r="I940" s="91"/>
      <c r="J940" s="91"/>
      <c r="K940" s="160"/>
      <c r="L940" s="160"/>
      <c r="M940" s="160"/>
      <c r="N940" s="160"/>
      <c r="O940" s="160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  <c r="AC940" s="91"/>
      <c r="AD940" s="91"/>
      <c r="AE940" s="91"/>
      <c r="AF940" s="91"/>
      <c r="AG940" s="91"/>
      <c r="AH940" s="91"/>
      <c r="AI940" s="91"/>
      <c r="AJ940" s="91"/>
      <c r="AK940" s="91"/>
      <c r="AL940" s="91"/>
      <c r="AM940" s="91"/>
      <c r="AN940" s="91"/>
    </row>
    <row r="941">
      <c r="A941" s="164"/>
      <c r="B941" s="165"/>
      <c r="C941" s="165"/>
      <c r="D941" s="164"/>
      <c r="E941" s="164"/>
      <c r="F941" s="164"/>
      <c r="G941" s="91"/>
      <c r="H941" s="91"/>
      <c r="I941" s="91"/>
      <c r="J941" s="91"/>
      <c r="K941" s="160"/>
      <c r="L941" s="160"/>
      <c r="M941" s="160"/>
      <c r="N941" s="160"/>
      <c r="O941" s="160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  <c r="AC941" s="91"/>
      <c r="AD941" s="91"/>
      <c r="AE941" s="91"/>
      <c r="AF941" s="91"/>
      <c r="AG941" s="91"/>
      <c r="AH941" s="91"/>
      <c r="AI941" s="91"/>
      <c r="AJ941" s="91"/>
      <c r="AK941" s="91"/>
      <c r="AL941" s="91"/>
      <c r="AM941" s="91"/>
      <c r="AN941" s="91"/>
    </row>
    <row r="942">
      <c r="A942" s="164"/>
      <c r="B942" s="165"/>
      <c r="C942" s="165"/>
      <c r="D942" s="164"/>
      <c r="E942" s="164"/>
      <c r="F942" s="164"/>
      <c r="G942" s="91"/>
      <c r="H942" s="91"/>
      <c r="I942" s="91"/>
      <c r="J942" s="91"/>
      <c r="K942" s="160"/>
      <c r="L942" s="160"/>
      <c r="M942" s="160"/>
      <c r="N942" s="160"/>
      <c r="O942" s="160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  <c r="AC942" s="91"/>
      <c r="AD942" s="91"/>
      <c r="AE942" s="91"/>
      <c r="AF942" s="91"/>
      <c r="AG942" s="91"/>
      <c r="AH942" s="91"/>
      <c r="AI942" s="91"/>
      <c r="AJ942" s="91"/>
      <c r="AK942" s="91"/>
      <c r="AL942" s="91"/>
      <c r="AM942" s="91"/>
      <c r="AN942" s="91"/>
    </row>
    <row r="943">
      <c r="A943" s="164"/>
      <c r="B943" s="165"/>
      <c r="C943" s="165"/>
      <c r="D943" s="164"/>
      <c r="E943" s="164"/>
      <c r="F943" s="164"/>
      <c r="G943" s="91"/>
      <c r="H943" s="91"/>
      <c r="I943" s="91"/>
      <c r="J943" s="91"/>
      <c r="K943" s="160"/>
      <c r="L943" s="160"/>
      <c r="M943" s="160"/>
      <c r="N943" s="160"/>
      <c r="O943" s="160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  <c r="AC943" s="91"/>
      <c r="AD943" s="91"/>
      <c r="AE943" s="91"/>
      <c r="AF943" s="91"/>
      <c r="AG943" s="91"/>
      <c r="AH943" s="91"/>
      <c r="AI943" s="91"/>
      <c r="AJ943" s="91"/>
      <c r="AK943" s="91"/>
      <c r="AL943" s="91"/>
      <c r="AM943" s="91"/>
      <c r="AN943" s="91"/>
    </row>
    <row r="944">
      <c r="A944" s="164"/>
      <c r="B944" s="165"/>
      <c r="C944" s="165"/>
      <c r="D944" s="164"/>
      <c r="E944" s="164"/>
      <c r="F944" s="164"/>
      <c r="G944" s="91"/>
      <c r="H944" s="91"/>
      <c r="I944" s="91"/>
      <c r="J944" s="91"/>
      <c r="K944" s="160"/>
      <c r="L944" s="160"/>
      <c r="M944" s="160"/>
      <c r="N944" s="160"/>
      <c r="O944" s="160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  <c r="AC944" s="91"/>
      <c r="AD944" s="91"/>
      <c r="AE944" s="91"/>
      <c r="AF944" s="91"/>
      <c r="AG944" s="91"/>
      <c r="AH944" s="91"/>
      <c r="AI944" s="91"/>
      <c r="AJ944" s="91"/>
      <c r="AK944" s="91"/>
      <c r="AL944" s="91"/>
      <c r="AM944" s="91"/>
      <c r="AN944" s="91"/>
    </row>
    <row r="945">
      <c r="A945" s="164"/>
      <c r="B945" s="165"/>
      <c r="C945" s="165"/>
      <c r="D945" s="164"/>
      <c r="E945" s="164"/>
      <c r="F945" s="164"/>
      <c r="G945" s="91"/>
      <c r="H945" s="91"/>
      <c r="I945" s="91"/>
      <c r="J945" s="91"/>
      <c r="K945" s="160"/>
      <c r="L945" s="160"/>
      <c r="M945" s="160"/>
      <c r="N945" s="160"/>
      <c r="O945" s="160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  <c r="AC945" s="91"/>
      <c r="AD945" s="91"/>
      <c r="AE945" s="91"/>
      <c r="AF945" s="91"/>
      <c r="AG945" s="91"/>
      <c r="AH945" s="91"/>
      <c r="AI945" s="91"/>
      <c r="AJ945" s="91"/>
      <c r="AK945" s="91"/>
      <c r="AL945" s="91"/>
      <c r="AM945" s="91"/>
      <c r="AN945" s="91"/>
    </row>
    <row r="946">
      <c r="A946" s="164"/>
      <c r="B946" s="165"/>
      <c r="C946" s="165"/>
      <c r="D946" s="164"/>
      <c r="E946" s="164"/>
      <c r="F946" s="164"/>
      <c r="G946" s="91"/>
      <c r="H946" s="91"/>
      <c r="I946" s="91"/>
      <c r="J946" s="91"/>
      <c r="K946" s="160"/>
      <c r="L946" s="160"/>
      <c r="M946" s="160"/>
      <c r="N946" s="160"/>
      <c r="O946" s="160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  <c r="AC946" s="91"/>
      <c r="AD946" s="91"/>
      <c r="AE946" s="91"/>
      <c r="AF946" s="91"/>
      <c r="AG946" s="91"/>
      <c r="AH946" s="91"/>
      <c r="AI946" s="91"/>
      <c r="AJ946" s="91"/>
      <c r="AK946" s="91"/>
      <c r="AL946" s="91"/>
      <c r="AM946" s="91"/>
      <c r="AN946" s="91"/>
    </row>
    <row r="947">
      <c r="A947" s="164"/>
      <c r="B947" s="165"/>
      <c r="C947" s="165"/>
      <c r="D947" s="164"/>
      <c r="E947" s="164"/>
      <c r="F947" s="164"/>
      <c r="G947" s="91"/>
      <c r="H947" s="91"/>
      <c r="I947" s="91"/>
      <c r="J947" s="91"/>
      <c r="K947" s="160"/>
      <c r="L947" s="160"/>
      <c r="M947" s="160"/>
      <c r="N947" s="160"/>
      <c r="O947" s="160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  <c r="AC947" s="91"/>
      <c r="AD947" s="91"/>
      <c r="AE947" s="91"/>
      <c r="AF947" s="91"/>
      <c r="AG947" s="91"/>
      <c r="AH947" s="91"/>
      <c r="AI947" s="91"/>
      <c r="AJ947" s="91"/>
      <c r="AK947" s="91"/>
      <c r="AL947" s="91"/>
      <c r="AM947" s="91"/>
      <c r="AN947" s="91"/>
    </row>
    <row r="948">
      <c r="A948" s="164"/>
      <c r="B948" s="165"/>
      <c r="C948" s="165"/>
      <c r="D948" s="164"/>
      <c r="E948" s="164"/>
      <c r="F948" s="164"/>
      <c r="G948" s="91"/>
      <c r="H948" s="91"/>
      <c r="I948" s="91"/>
      <c r="J948" s="91"/>
      <c r="K948" s="160"/>
      <c r="L948" s="160"/>
      <c r="M948" s="160"/>
      <c r="N948" s="160"/>
      <c r="O948" s="160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  <c r="AC948" s="91"/>
      <c r="AD948" s="91"/>
      <c r="AE948" s="91"/>
      <c r="AF948" s="91"/>
      <c r="AG948" s="91"/>
      <c r="AH948" s="91"/>
      <c r="AI948" s="91"/>
      <c r="AJ948" s="91"/>
      <c r="AK948" s="91"/>
      <c r="AL948" s="91"/>
      <c r="AM948" s="91"/>
      <c r="AN948" s="91"/>
    </row>
    <row r="949">
      <c r="A949" s="164"/>
      <c r="B949" s="165"/>
      <c r="C949" s="165"/>
      <c r="D949" s="164"/>
      <c r="E949" s="164"/>
      <c r="F949" s="164"/>
      <c r="G949" s="91"/>
      <c r="H949" s="91"/>
      <c r="I949" s="91"/>
      <c r="J949" s="91"/>
      <c r="K949" s="160"/>
      <c r="L949" s="160"/>
      <c r="M949" s="160"/>
      <c r="N949" s="160"/>
      <c r="O949" s="160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  <c r="AC949" s="91"/>
      <c r="AD949" s="91"/>
      <c r="AE949" s="91"/>
      <c r="AF949" s="91"/>
      <c r="AG949" s="91"/>
      <c r="AH949" s="91"/>
      <c r="AI949" s="91"/>
      <c r="AJ949" s="91"/>
      <c r="AK949" s="91"/>
      <c r="AL949" s="91"/>
      <c r="AM949" s="91"/>
      <c r="AN949" s="91"/>
    </row>
    <row r="950">
      <c r="A950" s="164"/>
      <c r="B950" s="165"/>
      <c r="C950" s="165"/>
      <c r="D950" s="164"/>
      <c r="E950" s="164"/>
      <c r="F950" s="164"/>
      <c r="G950" s="91"/>
      <c r="H950" s="91"/>
      <c r="I950" s="91"/>
      <c r="J950" s="91"/>
      <c r="K950" s="160"/>
      <c r="L950" s="160"/>
      <c r="M950" s="160"/>
      <c r="N950" s="160"/>
      <c r="O950" s="160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  <c r="AC950" s="91"/>
      <c r="AD950" s="91"/>
      <c r="AE950" s="91"/>
      <c r="AF950" s="91"/>
      <c r="AG950" s="91"/>
      <c r="AH950" s="91"/>
      <c r="AI950" s="91"/>
      <c r="AJ950" s="91"/>
      <c r="AK950" s="91"/>
      <c r="AL950" s="91"/>
      <c r="AM950" s="91"/>
      <c r="AN950" s="91"/>
    </row>
    <row r="951">
      <c r="A951" s="164"/>
      <c r="B951" s="165"/>
      <c r="C951" s="165"/>
      <c r="D951" s="164"/>
      <c r="E951" s="164"/>
      <c r="F951" s="164"/>
      <c r="G951" s="91"/>
      <c r="H951" s="91"/>
      <c r="I951" s="91"/>
      <c r="J951" s="91"/>
      <c r="K951" s="160"/>
      <c r="L951" s="160"/>
      <c r="M951" s="160"/>
      <c r="N951" s="160"/>
      <c r="O951" s="160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  <c r="AC951" s="91"/>
      <c r="AD951" s="91"/>
      <c r="AE951" s="91"/>
      <c r="AF951" s="91"/>
      <c r="AG951" s="91"/>
      <c r="AH951" s="91"/>
      <c r="AI951" s="91"/>
      <c r="AJ951" s="91"/>
      <c r="AK951" s="91"/>
      <c r="AL951" s="91"/>
      <c r="AM951" s="91"/>
      <c r="AN951" s="91"/>
    </row>
    <row r="952">
      <c r="A952" s="164"/>
      <c r="B952" s="165"/>
      <c r="C952" s="165"/>
      <c r="D952" s="164"/>
      <c r="E952" s="164"/>
      <c r="F952" s="164"/>
      <c r="G952" s="91"/>
      <c r="H952" s="91"/>
      <c r="I952" s="91"/>
      <c r="J952" s="91"/>
      <c r="K952" s="160"/>
      <c r="L952" s="160"/>
      <c r="M952" s="160"/>
      <c r="N952" s="160"/>
      <c r="O952" s="160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  <c r="AC952" s="91"/>
      <c r="AD952" s="91"/>
      <c r="AE952" s="91"/>
      <c r="AF952" s="91"/>
      <c r="AG952" s="91"/>
      <c r="AH952" s="91"/>
      <c r="AI952" s="91"/>
      <c r="AJ952" s="91"/>
      <c r="AK952" s="91"/>
      <c r="AL952" s="91"/>
      <c r="AM952" s="91"/>
      <c r="AN952" s="91"/>
    </row>
    <row r="953">
      <c r="A953" s="164"/>
      <c r="B953" s="165"/>
      <c r="C953" s="165"/>
      <c r="D953" s="164"/>
      <c r="E953" s="164"/>
      <c r="F953" s="164"/>
      <c r="G953" s="91"/>
      <c r="H953" s="91"/>
      <c r="I953" s="91"/>
      <c r="J953" s="91"/>
      <c r="K953" s="160"/>
      <c r="L953" s="160"/>
      <c r="M953" s="160"/>
      <c r="N953" s="160"/>
      <c r="O953" s="160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  <c r="AC953" s="91"/>
      <c r="AD953" s="91"/>
      <c r="AE953" s="91"/>
      <c r="AF953" s="91"/>
      <c r="AG953" s="91"/>
      <c r="AH953" s="91"/>
      <c r="AI953" s="91"/>
      <c r="AJ953" s="91"/>
      <c r="AK953" s="91"/>
      <c r="AL953" s="91"/>
      <c r="AM953" s="91"/>
      <c r="AN953" s="91"/>
    </row>
    <row r="954">
      <c r="A954" s="164"/>
      <c r="B954" s="165"/>
      <c r="C954" s="165"/>
      <c r="D954" s="164"/>
      <c r="E954" s="164"/>
      <c r="F954" s="164"/>
      <c r="G954" s="91"/>
      <c r="H954" s="91"/>
      <c r="I954" s="91"/>
      <c r="J954" s="91"/>
      <c r="K954" s="160"/>
      <c r="L954" s="160"/>
      <c r="M954" s="160"/>
      <c r="N954" s="160"/>
      <c r="O954" s="160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  <c r="AC954" s="91"/>
      <c r="AD954" s="91"/>
      <c r="AE954" s="91"/>
      <c r="AF954" s="91"/>
      <c r="AG954" s="91"/>
      <c r="AH954" s="91"/>
      <c r="AI954" s="91"/>
      <c r="AJ954" s="91"/>
      <c r="AK954" s="91"/>
      <c r="AL954" s="91"/>
      <c r="AM954" s="91"/>
      <c r="AN954" s="91"/>
    </row>
    <row r="955">
      <c r="A955" s="164"/>
      <c r="B955" s="165"/>
      <c r="C955" s="165"/>
      <c r="D955" s="164"/>
      <c r="E955" s="164"/>
      <c r="F955" s="164"/>
      <c r="G955" s="91"/>
      <c r="H955" s="91"/>
      <c r="I955" s="91"/>
      <c r="J955" s="91"/>
      <c r="K955" s="160"/>
      <c r="L955" s="160"/>
      <c r="M955" s="160"/>
      <c r="N955" s="160"/>
      <c r="O955" s="160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  <c r="AC955" s="91"/>
      <c r="AD955" s="91"/>
      <c r="AE955" s="91"/>
      <c r="AF955" s="91"/>
      <c r="AG955" s="91"/>
      <c r="AH955" s="91"/>
      <c r="AI955" s="91"/>
      <c r="AJ955" s="91"/>
      <c r="AK955" s="91"/>
      <c r="AL955" s="91"/>
      <c r="AM955" s="91"/>
      <c r="AN955" s="91"/>
    </row>
    <row r="956">
      <c r="A956" s="164"/>
      <c r="B956" s="165"/>
      <c r="C956" s="165"/>
      <c r="D956" s="164"/>
      <c r="E956" s="164"/>
      <c r="F956" s="164"/>
      <c r="G956" s="91"/>
      <c r="H956" s="91"/>
      <c r="I956" s="91"/>
      <c r="J956" s="91"/>
      <c r="K956" s="160"/>
      <c r="L956" s="160"/>
      <c r="M956" s="160"/>
      <c r="N956" s="160"/>
      <c r="O956" s="160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  <c r="AC956" s="91"/>
      <c r="AD956" s="91"/>
      <c r="AE956" s="91"/>
      <c r="AF956" s="91"/>
      <c r="AG956" s="91"/>
      <c r="AH956" s="91"/>
      <c r="AI956" s="91"/>
      <c r="AJ956" s="91"/>
      <c r="AK956" s="91"/>
      <c r="AL956" s="91"/>
      <c r="AM956" s="91"/>
      <c r="AN956" s="91"/>
    </row>
    <row r="957">
      <c r="A957" s="164"/>
      <c r="B957" s="165"/>
      <c r="C957" s="165"/>
      <c r="D957" s="164"/>
      <c r="E957" s="164"/>
      <c r="F957" s="164"/>
      <c r="G957" s="91"/>
      <c r="H957" s="91"/>
      <c r="I957" s="91"/>
      <c r="J957" s="91"/>
      <c r="K957" s="160"/>
      <c r="L957" s="160"/>
      <c r="M957" s="160"/>
      <c r="N957" s="160"/>
      <c r="O957" s="160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  <c r="AC957" s="91"/>
      <c r="AD957" s="91"/>
      <c r="AE957" s="91"/>
      <c r="AF957" s="91"/>
      <c r="AG957" s="91"/>
      <c r="AH957" s="91"/>
      <c r="AI957" s="91"/>
      <c r="AJ957" s="91"/>
      <c r="AK957" s="91"/>
      <c r="AL957" s="91"/>
      <c r="AM957" s="91"/>
      <c r="AN957" s="91"/>
    </row>
    <row r="958">
      <c r="A958" s="164"/>
      <c r="B958" s="165"/>
      <c r="C958" s="165"/>
      <c r="D958" s="164"/>
      <c r="E958" s="164"/>
      <c r="F958" s="164"/>
      <c r="G958" s="91"/>
      <c r="H958" s="91"/>
      <c r="I958" s="91"/>
      <c r="J958" s="91"/>
      <c r="K958" s="160"/>
      <c r="L958" s="160"/>
      <c r="M958" s="160"/>
      <c r="N958" s="160"/>
      <c r="O958" s="160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  <c r="AC958" s="91"/>
      <c r="AD958" s="91"/>
      <c r="AE958" s="91"/>
      <c r="AF958" s="91"/>
      <c r="AG958" s="91"/>
      <c r="AH958" s="91"/>
      <c r="AI958" s="91"/>
      <c r="AJ958" s="91"/>
      <c r="AK958" s="91"/>
      <c r="AL958" s="91"/>
      <c r="AM958" s="91"/>
      <c r="AN958" s="91"/>
    </row>
    <row r="959">
      <c r="A959" s="164"/>
      <c r="B959" s="165"/>
      <c r="C959" s="165"/>
      <c r="D959" s="164"/>
      <c r="E959" s="164"/>
      <c r="F959" s="164"/>
      <c r="G959" s="91"/>
      <c r="H959" s="91"/>
      <c r="I959" s="91"/>
      <c r="J959" s="91"/>
      <c r="K959" s="160"/>
      <c r="L959" s="160"/>
      <c r="M959" s="160"/>
      <c r="N959" s="160"/>
      <c r="O959" s="160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  <c r="AC959" s="91"/>
      <c r="AD959" s="91"/>
      <c r="AE959" s="91"/>
      <c r="AF959" s="91"/>
      <c r="AG959" s="91"/>
      <c r="AH959" s="91"/>
      <c r="AI959" s="91"/>
      <c r="AJ959" s="91"/>
      <c r="AK959" s="91"/>
      <c r="AL959" s="91"/>
      <c r="AM959" s="91"/>
      <c r="AN959" s="91"/>
    </row>
    <row r="960">
      <c r="A960" s="164"/>
      <c r="B960" s="165"/>
      <c r="C960" s="165"/>
      <c r="D960" s="164"/>
      <c r="E960" s="164"/>
      <c r="F960" s="164"/>
      <c r="G960" s="91"/>
      <c r="H960" s="91"/>
      <c r="I960" s="91"/>
      <c r="J960" s="91"/>
      <c r="K960" s="160"/>
      <c r="L960" s="160"/>
      <c r="M960" s="160"/>
      <c r="N960" s="160"/>
      <c r="O960" s="160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  <c r="AC960" s="91"/>
      <c r="AD960" s="91"/>
      <c r="AE960" s="91"/>
      <c r="AF960" s="91"/>
      <c r="AG960" s="91"/>
      <c r="AH960" s="91"/>
      <c r="AI960" s="91"/>
      <c r="AJ960" s="91"/>
      <c r="AK960" s="91"/>
      <c r="AL960" s="91"/>
      <c r="AM960" s="91"/>
      <c r="AN960" s="91"/>
    </row>
    <row r="961">
      <c r="A961" s="164"/>
      <c r="B961" s="165"/>
      <c r="C961" s="165"/>
      <c r="D961" s="164"/>
      <c r="E961" s="164"/>
      <c r="F961" s="164"/>
      <c r="G961" s="91"/>
      <c r="H961" s="91"/>
      <c r="I961" s="91"/>
      <c r="J961" s="91"/>
      <c r="K961" s="160"/>
      <c r="L961" s="160"/>
      <c r="M961" s="160"/>
      <c r="N961" s="160"/>
      <c r="O961" s="160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  <c r="AC961" s="91"/>
      <c r="AD961" s="91"/>
      <c r="AE961" s="91"/>
      <c r="AF961" s="91"/>
      <c r="AG961" s="91"/>
      <c r="AH961" s="91"/>
      <c r="AI961" s="91"/>
      <c r="AJ961" s="91"/>
      <c r="AK961" s="91"/>
      <c r="AL961" s="91"/>
      <c r="AM961" s="91"/>
      <c r="AN961" s="91"/>
    </row>
    <row r="962">
      <c r="A962" s="164"/>
      <c r="B962" s="165"/>
      <c r="C962" s="165"/>
      <c r="D962" s="164"/>
      <c r="E962" s="164"/>
      <c r="F962" s="164"/>
      <c r="G962" s="91"/>
      <c r="H962" s="91"/>
      <c r="I962" s="91"/>
      <c r="J962" s="91"/>
      <c r="K962" s="160"/>
      <c r="L962" s="160"/>
      <c r="M962" s="160"/>
      <c r="N962" s="160"/>
      <c r="O962" s="160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  <c r="AC962" s="91"/>
      <c r="AD962" s="91"/>
      <c r="AE962" s="91"/>
      <c r="AF962" s="91"/>
      <c r="AG962" s="91"/>
      <c r="AH962" s="91"/>
      <c r="AI962" s="91"/>
      <c r="AJ962" s="91"/>
      <c r="AK962" s="91"/>
      <c r="AL962" s="91"/>
      <c r="AM962" s="91"/>
      <c r="AN962" s="91"/>
    </row>
    <row r="963">
      <c r="A963" s="164"/>
      <c r="B963" s="165"/>
      <c r="C963" s="165"/>
      <c r="D963" s="164"/>
      <c r="E963" s="164"/>
      <c r="F963" s="164"/>
      <c r="G963" s="91"/>
      <c r="H963" s="91"/>
      <c r="I963" s="91"/>
      <c r="J963" s="91"/>
      <c r="K963" s="160"/>
      <c r="L963" s="160"/>
      <c r="M963" s="160"/>
      <c r="N963" s="160"/>
      <c r="O963" s="160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  <c r="AC963" s="91"/>
      <c r="AD963" s="91"/>
      <c r="AE963" s="91"/>
      <c r="AF963" s="91"/>
      <c r="AG963" s="91"/>
      <c r="AH963" s="91"/>
      <c r="AI963" s="91"/>
      <c r="AJ963" s="91"/>
      <c r="AK963" s="91"/>
      <c r="AL963" s="91"/>
      <c r="AM963" s="91"/>
      <c r="AN963" s="91"/>
    </row>
    <row r="964">
      <c r="A964" s="164"/>
      <c r="B964" s="165"/>
      <c r="C964" s="165"/>
      <c r="D964" s="164"/>
      <c r="E964" s="164"/>
      <c r="F964" s="164"/>
      <c r="G964" s="91"/>
      <c r="H964" s="91"/>
      <c r="I964" s="91"/>
      <c r="J964" s="91"/>
      <c r="K964" s="160"/>
      <c r="L964" s="160"/>
      <c r="M964" s="160"/>
      <c r="N964" s="160"/>
      <c r="O964" s="160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  <c r="AC964" s="91"/>
      <c r="AD964" s="91"/>
      <c r="AE964" s="91"/>
      <c r="AF964" s="91"/>
      <c r="AG964" s="91"/>
      <c r="AH964" s="91"/>
      <c r="AI964" s="91"/>
      <c r="AJ964" s="91"/>
      <c r="AK964" s="91"/>
      <c r="AL964" s="91"/>
      <c r="AM964" s="91"/>
      <c r="AN964" s="91"/>
    </row>
    <row r="965">
      <c r="A965" s="164"/>
      <c r="B965" s="165"/>
      <c r="C965" s="165"/>
      <c r="D965" s="164"/>
      <c r="E965" s="164"/>
      <c r="F965" s="164"/>
      <c r="G965" s="91"/>
      <c r="H965" s="91"/>
      <c r="I965" s="91"/>
      <c r="J965" s="91"/>
      <c r="K965" s="160"/>
      <c r="L965" s="160"/>
      <c r="M965" s="160"/>
      <c r="N965" s="160"/>
      <c r="O965" s="160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  <c r="AC965" s="91"/>
      <c r="AD965" s="91"/>
      <c r="AE965" s="91"/>
      <c r="AF965" s="91"/>
      <c r="AG965" s="91"/>
      <c r="AH965" s="91"/>
      <c r="AI965" s="91"/>
      <c r="AJ965" s="91"/>
      <c r="AK965" s="91"/>
      <c r="AL965" s="91"/>
      <c r="AM965" s="91"/>
      <c r="AN965" s="91"/>
    </row>
    <row r="966">
      <c r="A966" s="164"/>
      <c r="B966" s="165"/>
      <c r="C966" s="165"/>
      <c r="D966" s="164"/>
      <c r="E966" s="164"/>
      <c r="F966" s="164"/>
      <c r="G966" s="91"/>
      <c r="H966" s="91"/>
      <c r="I966" s="91"/>
      <c r="J966" s="91"/>
      <c r="K966" s="160"/>
      <c r="L966" s="160"/>
      <c r="M966" s="160"/>
      <c r="N966" s="160"/>
      <c r="O966" s="160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  <c r="AC966" s="91"/>
      <c r="AD966" s="91"/>
      <c r="AE966" s="91"/>
      <c r="AF966" s="91"/>
      <c r="AG966" s="91"/>
      <c r="AH966" s="91"/>
      <c r="AI966" s="91"/>
      <c r="AJ966" s="91"/>
      <c r="AK966" s="91"/>
      <c r="AL966" s="91"/>
      <c r="AM966" s="91"/>
      <c r="AN966" s="91"/>
    </row>
    <row r="967">
      <c r="A967" s="164"/>
      <c r="B967" s="165"/>
      <c r="C967" s="165"/>
      <c r="D967" s="164"/>
      <c r="E967" s="164"/>
      <c r="F967" s="164"/>
      <c r="G967" s="91"/>
      <c r="H967" s="91"/>
      <c r="I967" s="91"/>
      <c r="J967" s="91"/>
      <c r="K967" s="160"/>
      <c r="L967" s="160"/>
      <c r="M967" s="160"/>
      <c r="N967" s="160"/>
      <c r="O967" s="160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  <c r="AC967" s="91"/>
      <c r="AD967" s="91"/>
      <c r="AE967" s="91"/>
      <c r="AF967" s="91"/>
      <c r="AG967" s="91"/>
      <c r="AH967" s="91"/>
      <c r="AI967" s="91"/>
      <c r="AJ967" s="91"/>
      <c r="AK967" s="91"/>
      <c r="AL967" s="91"/>
      <c r="AM967" s="91"/>
      <c r="AN967" s="91"/>
    </row>
    <row r="968">
      <c r="A968" s="164"/>
      <c r="B968" s="165"/>
      <c r="C968" s="165"/>
      <c r="D968" s="164"/>
      <c r="E968" s="164"/>
      <c r="F968" s="164"/>
      <c r="G968" s="91"/>
      <c r="H968" s="91"/>
      <c r="I968" s="91"/>
      <c r="J968" s="91"/>
      <c r="K968" s="160"/>
      <c r="L968" s="160"/>
      <c r="M968" s="160"/>
      <c r="N968" s="160"/>
      <c r="O968" s="160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  <c r="AC968" s="91"/>
      <c r="AD968" s="91"/>
      <c r="AE968" s="91"/>
      <c r="AF968" s="91"/>
      <c r="AG968" s="91"/>
      <c r="AH968" s="91"/>
      <c r="AI968" s="91"/>
      <c r="AJ968" s="91"/>
      <c r="AK968" s="91"/>
      <c r="AL968" s="91"/>
      <c r="AM968" s="91"/>
      <c r="AN968" s="91"/>
    </row>
    <row r="969">
      <c r="A969" s="164"/>
      <c r="B969" s="165"/>
      <c r="C969" s="165"/>
      <c r="D969" s="164"/>
      <c r="E969" s="164"/>
      <c r="F969" s="164"/>
      <c r="G969" s="91"/>
      <c r="H969" s="91"/>
      <c r="I969" s="91"/>
      <c r="J969" s="91"/>
      <c r="K969" s="160"/>
      <c r="L969" s="160"/>
      <c r="M969" s="160"/>
      <c r="N969" s="160"/>
      <c r="O969" s="160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  <c r="AC969" s="91"/>
      <c r="AD969" s="91"/>
      <c r="AE969" s="91"/>
      <c r="AF969" s="91"/>
      <c r="AG969" s="91"/>
      <c r="AH969" s="91"/>
      <c r="AI969" s="91"/>
      <c r="AJ969" s="91"/>
      <c r="AK969" s="91"/>
      <c r="AL969" s="91"/>
      <c r="AM969" s="91"/>
      <c r="AN969" s="91"/>
    </row>
    <row r="970">
      <c r="A970" s="164"/>
      <c r="B970" s="165"/>
      <c r="C970" s="165"/>
      <c r="D970" s="164"/>
      <c r="E970" s="164"/>
      <c r="F970" s="164"/>
      <c r="G970" s="91"/>
      <c r="H970" s="91"/>
      <c r="I970" s="91"/>
      <c r="J970" s="91"/>
      <c r="K970" s="160"/>
      <c r="L970" s="160"/>
      <c r="M970" s="160"/>
      <c r="N970" s="160"/>
      <c r="O970" s="160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  <c r="AC970" s="91"/>
      <c r="AD970" s="91"/>
      <c r="AE970" s="91"/>
      <c r="AF970" s="91"/>
      <c r="AG970" s="91"/>
      <c r="AH970" s="91"/>
      <c r="AI970" s="91"/>
      <c r="AJ970" s="91"/>
      <c r="AK970" s="91"/>
      <c r="AL970" s="91"/>
      <c r="AM970" s="91"/>
      <c r="AN970" s="91"/>
    </row>
    <row r="971">
      <c r="A971" s="164"/>
      <c r="B971" s="165"/>
      <c r="C971" s="165"/>
      <c r="D971" s="164"/>
      <c r="E971" s="164"/>
      <c r="F971" s="164"/>
      <c r="G971" s="91"/>
      <c r="H971" s="91"/>
      <c r="I971" s="91"/>
      <c r="J971" s="91"/>
      <c r="K971" s="160"/>
      <c r="L971" s="160"/>
      <c r="M971" s="160"/>
      <c r="N971" s="160"/>
      <c r="O971" s="160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  <c r="AC971" s="91"/>
      <c r="AD971" s="91"/>
      <c r="AE971" s="91"/>
      <c r="AF971" s="91"/>
      <c r="AG971" s="91"/>
      <c r="AH971" s="91"/>
      <c r="AI971" s="91"/>
      <c r="AJ971" s="91"/>
      <c r="AK971" s="91"/>
      <c r="AL971" s="91"/>
      <c r="AM971" s="91"/>
      <c r="AN971" s="91"/>
    </row>
    <row r="972">
      <c r="A972" s="164"/>
      <c r="B972" s="165"/>
      <c r="C972" s="165"/>
      <c r="D972" s="164"/>
      <c r="E972" s="164"/>
      <c r="F972" s="164"/>
      <c r="G972" s="91"/>
      <c r="H972" s="91"/>
      <c r="I972" s="91"/>
      <c r="J972" s="91"/>
      <c r="K972" s="160"/>
      <c r="L972" s="160"/>
      <c r="M972" s="160"/>
      <c r="N972" s="160"/>
      <c r="O972" s="160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  <c r="AC972" s="91"/>
      <c r="AD972" s="91"/>
      <c r="AE972" s="91"/>
      <c r="AF972" s="91"/>
      <c r="AG972" s="91"/>
      <c r="AH972" s="91"/>
      <c r="AI972" s="91"/>
      <c r="AJ972" s="91"/>
      <c r="AK972" s="91"/>
      <c r="AL972" s="91"/>
      <c r="AM972" s="91"/>
      <c r="AN972" s="91"/>
    </row>
    <row r="973">
      <c r="A973" s="164"/>
      <c r="B973" s="165"/>
      <c r="C973" s="165"/>
      <c r="D973" s="164"/>
      <c r="E973" s="164"/>
      <c r="F973" s="164"/>
      <c r="G973" s="91"/>
      <c r="H973" s="91"/>
      <c r="I973" s="91"/>
      <c r="J973" s="91"/>
      <c r="K973" s="160"/>
      <c r="L973" s="160"/>
      <c r="M973" s="160"/>
      <c r="N973" s="160"/>
      <c r="O973" s="160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  <c r="AC973" s="91"/>
      <c r="AD973" s="91"/>
      <c r="AE973" s="91"/>
      <c r="AF973" s="91"/>
      <c r="AG973" s="91"/>
      <c r="AH973" s="91"/>
      <c r="AI973" s="91"/>
      <c r="AJ973" s="91"/>
      <c r="AK973" s="91"/>
      <c r="AL973" s="91"/>
      <c r="AM973" s="91"/>
      <c r="AN973" s="91"/>
    </row>
    <row r="974">
      <c r="A974" s="164"/>
      <c r="B974" s="165"/>
      <c r="C974" s="165"/>
      <c r="D974" s="164"/>
      <c r="E974" s="164"/>
      <c r="F974" s="164"/>
      <c r="G974" s="91"/>
      <c r="H974" s="91"/>
      <c r="I974" s="91"/>
      <c r="J974" s="91"/>
      <c r="K974" s="160"/>
      <c r="L974" s="160"/>
      <c r="M974" s="160"/>
      <c r="N974" s="160"/>
      <c r="O974" s="160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  <c r="AC974" s="91"/>
      <c r="AD974" s="91"/>
      <c r="AE974" s="91"/>
      <c r="AF974" s="91"/>
      <c r="AG974" s="91"/>
      <c r="AH974" s="91"/>
      <c r="AI974" s="91"/>
      <c r="AJ974" s="91"/>
      <c r="AK974" s="91"/>
      <c r="AL974" s="91"/>
      <c r="AM974" s="91"/>
      <c r="AN974" s="91"/>
    </row>
    <row r="975">
      <c r="A975" s="164"/>
      <c r="B975" s="165"/>
      <c r="C975" s="165"/>
      <c r="D975" s="164"/>
      <c r="E975" s="164"/>
      <c r="F975" s="164"/>
      <c r="G975" s="91"/>
      <c r="H975" s="91"/>
      <c r="I975" s="91"/>
      <c r="J975" s="91"/>
      <c r="K975" s="160"/>
      <c r="L975" s="160"/>
      <c r="M975" s="160"/>
      <c r="N975" s="160"/>
      <c r="O975" s="160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  <c r="AC975" s="91"/>
      <c r="AD975" s="91"/>
      <c r="AE975" s="91"/>
      <c r="AF975" s="91"/>
      <c r="AG975" s="91"/>
      <c r="AH975" s="91"/>
      <c r="AI975" s="91"/>
      <c r="AJ975" s="91"/>
      <c r="AK975" s="91"/>
      <c r="AL975" s="91"/>
      <c r="AM975" s="91"/>
      <c r="AN975" s="91"/>
    </row>
    <row r="976">
      <c r="A976" s="164"/>
      <c r="B976" s="165"/>
      <c r="C976" s="165"/>
      <c r="D976" s="164"/>
      <c r="E976" s="164"/>
      <c r="F976" s="164"/>
      <c r="G976" s="91"/>
      <c r="H976" s="91"/>
      <c r="I976" s="91"/>
      <c r="J976" s="91"/>
      <c r="K976" s="160"/>
      <c r="L976" s="160"/>
      <c r="M976" s="160"/>
      <c r="N976" s="160"/>
      <c r="O976" s="160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  <c r="AC976" s="91"/>
      <c r="AD976" s="91"/>
      <c r="AE976" s="91"/>
      <c r="AF976" s="91"/>
      <c r="AG976" s="91"/>
      <c r="AH976" s="91"/>
      <c r="AI976" s="91"/>
      <c r="AJ976" s="91"/>
      <c r="AK976" s="91"/>
      <c r="AL976" s="91"/>
      <c r="AM976" s="91"/>
      <c r="AN976" s="91"/>
    </row>
    <row r="977">
      <c r="A977" s="164"/>
      <c r="B977" s="165"/>
      <c r="C977" s="165"/>
      <c r="D977" s="164"/>
      <c r="E977" s="164"/>
      <c r="F977" s="164"/>
      <c r="G977" s="91"/>
      <c r="H977" s="91"/>
      <c r="I977" s="91"/>
      <c r="J977" s="91"/>
      <c r="K977" s="160"/>
      <c r="L977" s="160"/>
      <c r="M977" s="160"/>
      <c r="N977" s="160"/>
      <c r="O977" s="160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  <c r="AC977" s="91"/>
      <c r="AD977" s="91"/>
      <c r="AE977" s="91"/>
      <c r="AF977" s="91"/>
      <c r="AG977" s="91"/>
      <c r="AH977" s="91"/>
      <c r="AI977" s="91"/>
      <c r="AJ977" s="91"/>
      <c r="AK977" s="91"/>
      <c r="AL977" s="91"/>
      <c r="AM977" s="91"/>
      <c r="AN977" s="91"/>
    </row>
    <row r="978">
      <c r="A978" s="164"/>
      <c r="B978" s="165"/>
      <c r="C978" s="165"/>
      <c r="D978" s="164"/>
      <c r="E978" s="164"/>
      <c r="F978" s="164"/>
      <c r="G978" s="91"/>
      <c r="H978" s="91"/>
      <c r="I978" s="91"/>
      <c r="J978" s="91"/>
      <c r="K978" s="160"/>
      <c r="L978" s="160"/>
      <c r="M978" s="160"/>
      <c r="N978" s="160"/>
      <c r="O978" s="160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  <c r="AC978" s="91"/>
      <c r="AD978" s="91"/>
      <c r="AE978" s="91"/>
      <c r="AF978" s="91"/>
      <c r="AG978" s="91"/>
      <c r="AH978" s="91"/>
      <c r="AI978" s="91"/>
      <c r="AJ978" s="91"/>
      <c r="AK978" s="91"/>
      <c r="AL978" s="91"/>
      <c r="AM978" s="91"/>
      <c r="AN978" s="91"/>
    </row>
    <row r="979">
      <c r="A979" s="164"/>
      <c r="B979" s="165"/>
      <c r="C979" s="165"/>
      <c r="D979" s="164"/>
      <c r="E979" s="164"/>
      <c r="F979" s="164"/>
      <c r="G979" s="91"/>
      <c r="H979" s="91"/>
      <c r="I979" s="91"/>
      <c r="J979" s="91"/>
      <c r="K979" s="160"/>
      <c r="L979" s="160"/>
      <c r="M979" s="160"/>
      <c r="N979" s="160"/>
      <c r="O979" s="160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  <c r="AC979" s="91"/>
      <c r="AD979" s="91"/>
      <c r="AE979" s="91"/>
      <c r="AF979" s="91"/>
      <c r="AG979" s="91"/>
      <c r="AH979" s="91"/>
      <c r="AI979" s="91"/>
      <c r="AJ979" s="91"/>
      <c r="AK979" s="91"/>
      <c r="AL979" s="91"/>
      <c r="AM979" s="91"/>
      <c r="AN979" s="91"/>
    </row>
    <row r="980">
      <c r="A980" s="164"/>
      <c r="B980" s="165"/>
      <c r="C980" s="165"/>
      <c r="D980" s="164"/>
      <c r="E980" s="164"/>
      <c r="F980" s="164"/>
      <c r="G980" s="91"/>
      <c r="H980" s="91"/>
      <c r="I980" s="91"/>
      <c r="J980" s="91"/>
      <c r="K980" s="160"/>
      <c r="L980" s="160"/>
      <c r="M980" s="160"/>
      <c r="N980" s="160"/>
      <c r="O980" s="160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  <c r="AC980" s="91"/>
      <c r="AD980" s="91"/>
      <c r="AE980" s="91"/>
      <c r="AF980" s="91"/>
      <c r="AG980" s="91"/>
      <c r="AH980" s="91"/>
      <c r="AI980" s="91"/>
      <c r="AJ980" s="91"/>
      <c r="AK980" s="91"/>
      <c r="AL980" s="91"/>
      <c r="AM980" s="91"/>
      <c r="AN980" s="91"/>
    </row>
    <row r="981">
      <c r="A981" s="164"/>
      <c r="B981" s="165"/>
      <c r="C981" s="165"/>
      <c r="D981" s="164"/>
      <c r="E981" s="164"/>
      <c r="F981" s="164"/>
      <c r="G981" s="91"/>
      <c r="H981" s="91"/>
      <c r="I981" s="91"/>
      <c r="J981" s="91"/>
      <c r="K981" s="160"/>
      <c r="L981" s="160"/>
      <c r="M981" s="160"/>
      <c r="N981" s="160"/>
      <c r="O981" s="160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  <c r="AC981" s="91"/>
      <c r="AD981" s="91"/>
      <c r="AE981" s="91"/>
      <c r="AF981" s="91"/>
      <c r="AG981" s="91"/>
      <c r="AH981" s="91"/>
      <c r="AI981" s="91"/>
      <c r="AJ981" s="91"/>
      <c r="AK981" s="91"/>
      <c r="AL981" s="91"/>
      <c r="AM981" s="91"/>
      <c r="AN981" s="91"/>
    </row>
    <row r="982">
      <c r="A982" s="164"/>
      <c r="B982" s="165"/>
      <c r="C982" s="165"/>
      <c r="D982" s="164"/>
      <c r="E982" s="164"/>
      <c r="F982" s="164"/>
      <c r="G982" s="91"/>
      <c r="H982" s="91"/>
      <c r="I982" s="91"/>
      <c r="J982" s="91"/>
      <c r="K982" s="160"/>
      <c r="L982" s="160"/>
      <c r="M982" s="160"/>
      <c r="N982" s="160"/>
      <c r="O982" s="160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  <c r="AC982" s="91"/>
      <c r="AD982" s="91"/>
      <c r="AE982" s="91"/>
      <c r="AF982" s="91"/>
      <c r="AG982" s="91"/>
      <c r="AH982" s="91"/>
      <c r="AI982" s="91"/>
      <c r="AJ982" s="91"/>
      <c r="AK982" s="91"/>
      <c r="AL982" s="91"/>
      <c r="AM982" s="91"/>
      <c r="AN982" s="91"/>
    </row>
    <row r="983">
      <c r="A983" s="164"/>
      <c r="B983" s="165"/>
      <c r="C983" s="165"/>
      <c r="D983" s="164"/>
      <c r="E983" s="164"/>
      <c r="F983" s="164"/>
      <c r="G983" s="91"/>
      <c r="H983" s="91"/>
      <c r="I983" s="91"/>
      <c r="J983" s="91"/>
      <c r="K983" s="160"/>
      <c r="L983" s="160"/>
      <c r="M983" s="160"/>
      <c r="N983" s="160"/>
      <c r="O983" s="160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  <c r="AC983" s="91"/>
      <c r="AD983" s="91"/>
      <c r="AE983" s="91"/>
      <c r="AF983" s="91"/>
      <c r="AG983" s="91"/>
      <c r="AH983" s="91"/>
      <c r="AI983" s="91"/>
      <c r="AJ983" s="91"/>
      <c r="AK983" s="91"/>
      <c r="AL983" s="91"/>
      <c r="AM983" s="91"/>
      <c r="AN983" s="91"/>
    </row>
    <row r="984">
      <c r="A984" s="164"/>
      <c r="B984" s="165"/>
      <c r="C984" s="165"/>
      <c r="D984" s="164"/>
      <c r="E984" s="164"/>
      <c r="F984" s="164"/>
      <c r="G984" s="91"/>
      <c r="H984" s="91"/>
      <c r="I984" s="91"/>
      <c r="J984" s="91"/>
      <c r="K984" s="160"/>
      <c r="L984" s="160"/>
      <c r="M984" s="160"/>
      <c r="N984" s="160"/>
      <c r="O984" s="160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  <c r="AC984" s="91"/>
      <c r="AD984" s="91"/>
      <c r="AE984" s="91"/>
      <c r="AF984" s="91"/>
      <c r="AG984" s="91"/>
      <c r="AH984" s="91"/>
      <c r="AI984" s="91"/>
      <c r="AJ984" s="91"/>
      <c r="AK984" s="91"/>
      <c r="AL984" s="91"/>
      <c r="AM984" s="91"/>
      <c r="AN984" s="91"/>
    </row>
    <row r="985">
      <c r="A985" s="164"/>
      <c r="B985" s="165"/>
      <c r="C985" s="165"/>
      <c r="D985" s="164"/>
      <c r="E985" s="164"/>
      <c r="F985" s="164"/>
      <c r="G985" s="91"/>
      <c r="H985" s="91"/>
      <c r="I985" s="91"/>
      <c r="J985" s="91"/>
      <c r="K985" s="160"/>
      <c r="L985" s="160"/>
      <c r="M985" s="160"/>
      <c r="N985" s="160"/>
      <c r="O985" s="160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  <c r="AC985" s="91"/>
      <c r="AD985" s="91"/>
      <c r="AE985" s="91"/>
      <c r="AF985" s="91"/>
      <c r="AG985" s="91"/>
      <c r="AH985" s="91"/>
      <c r="AI985" s="91"/>
      <c r="AJ985" s="91"/>
      <c r="AK985" s="91"/>
      <c r="AL985" s="91"/>
      <c r="AM985" s="91"/>
      <c r="AN985" s="91"/>
    </row>
    <row r="986">
      <c r="A986" s="164"/>
      <c r="B986" s="165"/>
      <c r="C986" s="165"/>
      <c r="D986" s="164"/>
      <c r="E986" s="164"/>
      <c r="F986" s="164"/>
      <c r="G986" s="91"/>
      <c r="H986" s="91"/>
      <c r="I986" s="91"/>
      <c r="J986" s="91"/>
      <c r="K986" s="160"/>
      <c r="L986" s="160"/>
      <c r="M986" s="160"/>
      <c r="N986" s="160"/>
      <c r="O986" s="160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  <c r="AC986" s="91"/>
      <c r="AD986" s="91"/>
      <c r="AE986" s="91"/>
      <c r="AF986" s="91"/>
      <c r="AG986" s="91"/>
      <c r="AH986" s="91"/>
      <c r="AI986" s="91"/>
      <c r="AJ986" s="91"/>
      <c r="AK986" s="91"/>
      <c r="AL986" s="91"/>
      <c r="AM986" s="91"/>
      <c r="AN986" s="91"/>
    </row>
    <row r="987">
      <c r="A987" s="164"/>
      <c r="B987" s="165"/>
      <c r="C987" s="165"/>
      <c r="D987" s="164"/>
      <c r="E987" s="164"/>
      <c r="F987" s="164"/>
      <c r="G987" s="91"/>
      <c r="H987" s="91"/>
      <c r="I987" s="91"/>
      <c r="J987" s="91"/>
      <c r="K987" s="160"/>
      <c r="L987" s="160"/>
      <c r="M987" s="160"/>
      <c r="N987" s="160"/>
      <c r="O987" s="160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  <c r="AC987" s="91"/>
      <c r="AD987" s="91"/>
      <c r="AE987" s="91"/>
      <c r="AF987" s="91"/>
      <c r="AG987" s="91"/>
      <c r="AH987" s="91"/>
      <c r="AI987" s="91"/>
      <c r="AJ987" s="91"/>
      <c r="AK987" s="91"/>
      <c r="AL987" s="91"/>
      <c r="AM987" s="91"/>
      <c r="AN987" s="91"/>
    </row>
    <row r="988">
      <c r="A988" s="164"/>
      <c r="B988" s="165"/>
      <c r="C988" s="165"/>
      <c r="D988" s="164"/>
      <c r="E988" s="164"/>
      <c r="F988" s="164"/>
      <c r="G988" s="91"/>
      <c r="H988" s="91"/>
      <c r="I988" s="91"/>
      <c r="J988" s="91"/>
      <c r="K988" s="160"/>
      <c r="L988" s="160"/>
      <c r="M988" s="160"/>
      <c r="N988" s="160"/>
      <c r="O988" s="160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  <c r="AC988" s="91"/>
      <c r="AD988" s="91"/>
      <c r="AE988" s="91"/>
      <c r="AF988" s="91"/>
      <c r="AG988" s="91"/>
      <c r="AH988" s="91"/>
      <c r="AI988" s="91"/>
      <c r="AJ988" s="91"/>
      <c r="AK988" s="91"/>
      <c r="AL988" s="91"/>
      <c r="AM988" s="91"/>
      <c r="AN988" s="91"/>
    </row>
    <row r="989">
      <c r="A989" s="164"/>
      <c r="B989" s="165"/>
      <c r="C989" s="165"/>
      <c r="D989" s="164"/>
      <c r="E989" s="164"/>
      <c r="F989" s="164"/>
      <c r="G989" s="91"/>
      <c r="H989" s="91"/>
      <c r="I989" s="91"/>
      <c r="J989" s="91"/>
      <c r="K989" s="160"/>
      <c r="L989" s="160"/>
      <c r="M989" s="160"/>
      <c r="N989" s="160"/>
      <c r="O989" s="160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  <c r="AC989" s="91"/>
      <c r="AD989" s="91"/>
      <c r="AE989" s="91"/>
      <c r="AF989" s="91"/>
      <c r="AG989" s="91"/>
      <c r="AH989" s="91"/>
      <c r="AI989" s="91"/>
      <c r="AJ989" s="91"/>
      <c r="AK989" s="91"/>
      <c r="AL989" s="91"/>
      <c r="AM989" s="91"/>
      <c r="AN989" s="91"/>
    </row>
    <row r="990">
      <c r="A990" s="164"/>
      <c r="B990" s="165"/>
      <c r="C990" s="165"/>
      <c r="D990" s="164"/>
      <c r="E990" s="164"/>
      <c r="F990" s="164"/>
      <c r="G990" s="91"/>
      <c r="H990" s="91"/>
      <c r="I990" s="91"/>
      <c r="J990" s="91"/>
      <c r="K990" s="160"/>
      <c r="L990" s="160"/>
      <c r="M990" s="160"/>
      <c r="N990" s="160"/>
      <c r="O990" s="160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  <c r="AC990" s="91"/>
      <c r="AD990" s="91"/>
      <c r="AE990" s="91"/>
      <c r="AF990" s="91"/>
      <c r="AG990" s="91"/>
      <c r="AH990" s="91"/>
      <c r="AI990" s="91"/>
      <c r="AJ990" s="91"/>
      <c r="AK990" s="91"/>
      <c r="AL990" s="91"/>
      <c r="AM990" s="91"/>
      <c r="AN990" s="91"/>
    </row>
    <row r="991">
      <c r="A991" s="164"/>
      <c r="B991" s="165"/>
      <c r="C991" s="165"/>
      <c r="D991" s="164"/>
      <c r="E991" s="164"/>
      <c r="F991" s="164"/>
      <c r="G991" s="91"/>
      <c r="H991" s="91"/>
      <c r="I991" s="91"/>
      <c r="J991" s="91"/>
      <c r="K991" s="160"/>
      <c r="L991" s="160"/>
      <c r="M991" s="160"/>
      <c r="N991" s="160"/>
      <c r="O991" s="160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  <c r="AA991" s="91"/>
      <c r="AB991" s="91"/>
      <c r="AC991" s="91"/>
      <c r="AD991" s="91"/>
      <c r="AE991" s="91"/>
      <c r="AF991" s="91"/>
      <c r="AG991" s="91"/>
      <c r="AH991" s="91"/>
      <c r="AI991" s="91"/>
      <c r="AJ991" s="91"/>
      <c r="AK991" s="91"/>
      <c r="AL991" s="91"/>
      <c r="AM991" s="91"/>
      <c r="AN991" s="91"/>
    </row>
    <row r="992">
      <c r="A992" s="164"/>
      <c r="B992" s="165"/>
      <c r="C992" s="165"/>
      <c r="D992" s="164"/>
      <c r="E992" s="164"/>
      <c r="F992" s="164"/>
      <c r="G992" s="91"/>
      <c r="H992" s="91"/>
      <c r="I992" s="91"/>
      <c r="J992" s="91"/>
      <c r="K992" s="160"/>
      <c r="L992" s="160"/>
      <c r="M992" s="160"/>
      <c r="N992" s="160"/>
      <c r="O992" s="160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  <c r="AA992" s="91"/>
      <c r="AB992" s="91"/>
      <c r="AC992" s="91"/>
      <c r="AD992" s="91"/>
      <c r="AE992" s="91"/>
      <c r="AF992" s="91"/>
      <c r="AG992" s="91"/>
      <c r="AH992" s="91"/>
      <c r="AI992" s="91"/>
      <c r="AJ992" s="91"/>
      <c r="AK992" s="91"/>
      <c r="AL992" s="91"/>
      <c r="AM992" s="91"/>
      <c r="AN992" s="91"/>
    </row>
    <row r="993">
      <c r="A993" s="164"/>
      <c r="B993" s="165"/>
      <c r="C993" s="165"/>
      <c r="D993" s="164"/>
      <c r="E993" s="164"/>
      <c r="F993" s="164"/>
      <c r="G993" s="91"/>
      <c r="H993" s="91"/>
      <c r="I993" s="91"/>
      <c r="J993" s="91"/>
      <c r="K993" s="160"/>
      <c r="L993" s="160"/>
      <c r="M993" s="160"/>
      <c r="N993" s="160"/>
      <c r="O993" s="160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  <c r="AA993" s="91"/>
      <c r="AB993" s="91"/>
      <c r="AC993" s="91"/>
      <c r="AD993" s="91"/>
      <c r="AE993" s="91"/>
      <c r="AF993" s="91"/>
      <c r="AG993" s="91"/>
      <c r="AH993" s="91"/>
      <c r="AI993" s="91"/>
      <c r="AJ993" s="91"/>
      <c r="AK993" s="91"/>
      <c r="AL993" s="91"/>
      <c r="AM993" s="91"/>
      <c r="AN993" s="91"/>
    </row>
    <row r="994">
      <c r="A994" s="164"/>
      <c r="B994" s="165"/>
      <c r="C994" s="165"/>
      <c r="D994" s="164"/>
      <c r="E994" s="164"/>
      <c r="F994" s="164"/>
      <c r="G994" s="91"/>
      <c r="H994" s="91"/>
      <c r="I994" s="91"/>
      <c r="J994" s="91"/>
      <c r="K994" s="160"/>
      <c r="L994" s="160"/>
      <c r="M994" s="160"/>
      <c r="N994" s="160"/>
      <c r="O994" s="160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  <c r="AA994" s="91"/>
      <c r="AB994" s="91"/>
      <c r="AC994" s="91"/>
      <c r="AD994" s="91"/>
      <c r="AE994" s="91"/>
      <c r="AF994" s="91"/>
      <c r="AG994" s="91"/>
      <c r="AH994" s="91"/>
      <c r="AI994" s="91"/>
      <c r="AJ994" s="91"/>
      <c r="AK994" s="91"/>
      <c r="AL994" s="91"/>
      <c r="AM994" s="91"/>
      <c r="AN994" s="91"/>
    </row>
    <row r="995">
      <c r="A995" s="164"/>
      <c r="B995" s="165"/>
      <c r="C995" s="165"/>
      <c r="D995" s="164"/>
      <c r="E995" s="164"/>
      <c r="F995" s="164"/>
      <c r="G995" s="91"/>
      <c r="H995" s="91"/>
      <c r="I995" s="91"/>
      <c r="J995" s="91"/>
      <c r="K995" s="160"/>
      <c r="L995" s="160"/>
      <c r="M995" s="160"/>
      <c r="N995" s="160"/>
      <c r="O995" s="160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  <c r="AA995" s="91"/>
      <c r="AB995" s="91"/>
      <c r="AC995" s="91"/>
      <c r="AD995" s="91"/>
      <c r="AE995" s="91"/>
      <c r="AF995" s="91"/>
      <c r="AG995" s="91"/>
      <c r="AH995" s="91"/>
      <c r="AI995" s="91"/>
      <c r="AJ995" s="91"/>
      <c r="AK995" s="91"/>
      <c r="AL995" s="91"/>
      <c r="AM995" s="91"/>
      <c r="AN995" s="91"/>
    </row>
    <row r="996">
      <c r="A996" s="164"/>
      <c r="B996" s="165"/>
      <c r="C996" s="165"/>
      <c r="D996" s="164"/>
      <c r="E996" s="164"/>
      <c r="F996" s="164"/>
      <c r="G996" s="91"/>
      <c r="H996" s="91"/>
      <c r="I996" s="91"/>
      <c r="J996" s="91"/>
      <c r="K996" s="160"/>
      <c r="L996" s="160"/>
      <c r="M996" s="160"/>
      <c r="N996" s="160"/>
      <c r="O996" s="160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  <c r="AA996" s="91"/>
      <c r="AB996" s="91"/>
      <c r="AC996" s="91"/>
      <c r="AD996" s="91"/>
      <c r="AE996" s="91"/>
      <c r="AF996" s="91"/>
      <c r="AG996" s="91"/>
      <c r="AH996" s="91"/>
      <c r="AI996" s="91"/>
      <c r="AJ996" s="91"/>
      <c r="AK996" s="91"/>
      <c r="AL996" s="91"/>
      <c r="AM996" s="91"/>
      <c r="AN996" s="91"/>
    </row>
    <row r="997">
      <c r="A997" s="164"/>
      <c r="B997" s="165"/>
      <c r="C997" s="165"/>
      <c r="D997" s="164"/>
      <c r="E997" s="164"/>
      <c r="F997" s="164"/>
      <c r="G997" s="91"/>
      <c r="H997" s="91"/>
      <c r="I997" s="91"/>
      <c r="J997" s="91"/>
      <c r="K997" s="160"/>
      <c r="L997" s="160"/>
      <c r="M997" s="160"/>
      <c r="N997" s="160"/>
      <c r="O997" s="160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  <c r="AA997" s="91"/>
      <c r="AB997" s="91"/>
      <c r="AC997" s="91"/>
      <c r="AD997" s="91"/>
      <c r="AE997" s="91"/>
      <c r="AF997" s="91"/>
      <c r="AG997" s="91"/>
      <c r="AH997" s="91"/>
      <c r="AI997" s="91"/>
      <c r="AJ997" s="91"/>
      <c r="AK997" s="91"/>
      <c r="AL997" s="91"/>
      <c r="AM997" s="91"/>
      <c r="AN997" s="91"/>
    </row>
    <row r="998">
      <c r="A998" s="164"/>
      <c r="B998" s="165"/>
      <c r="C998" s="165"/>
      <c r="D998" s="164"/>
      <c r="E998" s="164"/>
      <c r="F998" s="164"/>
      <c r="G998" s="91"/>
      <c r="H998" s="91"/>
      <c r="I998" s="91"/>
      <c r="J998" s="91"/>
      <c r="K998" s="160"/>
      <c r="L998" s="160"/>
      <c r="M998" s="160"/>
      <c r="N998" s="160"/>
      <c r="O998" s="160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  <c r="AA998" s="91"/>
      <c r="AB998" s="91"/>
      <c r="AC998" s="91"/>
      <c r="AD998" s="91"/>
      <c r="AE998" s="91"/>
      <c r="AF998" s="91"/>
      <c r="AG998" s="91"/>
      <c r="AH998" s="91"/>
      <c r="AI998" s="91"/>
      <c r="AJ998" s="91"/>
      <c r="AK998" s="91"/>
      <c r="AL998" s="91"/>
      <c r="AM998" s="91"/>
      <c r="AN998" s="91"/>
    </row>
    <row r="999">
      <c r="A999" s="164"/>
      <c r="B999" s="165"/>
      <c r="C999" s="165"/>
      <c r="D999" s="164"/>
      <c r="E999" s="164"/>
      <c r="F999" s="164"/>
      <c r="G999" s="91"/>
      <c r="H999" s="91"/>
      <c r="I999" s="91"/>
      <c r="J999" s="91"/>
      <c r="K999" s="160"/>
      <c r="L999" s="160"/>
      <c r="M999" s="160"/>
      <c r="N999" s="160"/>
      <c r="O999" s="160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  <c r="AA999" s="91"/>
      <c r="AB999" s="91"/>
      <c r="AC999" s="91"/>
      <c r="AD999" s="91"/>
      <c r="AE999" s="91"/>
      <c r="AF999" s="91"/>
      <c r="AG999" s="91"/>
      <c r="AH999" s="91"/>
      <c r="AI999" s="91"/>
      <c r="AJ999" s="91"/>
      <c r="AK999" s="91"/>
      <c r="AL999" s="91"/>
      <c r="AM999" s="91"/>
      <c r="AN999" s="91"/>
    </row>
    <row r="1000">
      <c r="A1000" s="164"/>
      <c r="B1000" s="165"/>
      <c r="C1000" s="165"/>
      <c r="D1000" s="164"/>
      <c r="E1000" s="164"/>
      <c r="F1000" s="164"/>
      <c r="G1000" s="91"/>
      <c r="H1000" s="91"/>
      <c r="I1000" s="91"/>
      <c r="J1000" s="91"/>
      <c r="K1000" s="160"/>
      <c r="L1000" s="160"/>
      <c r="M1000" s="160"/>
      <c r="N1000" s="160"/>
      <c r="O1000" s="160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  <c r="AA1000" s="91"/>
      <c r="AB1000" s="91"/>
      <c r="AC1000" s="91"/>
      <c r="AD1000" s="91"/>
      <c r="AE1000" s="91"/>
      <c r="AF1000" s="91"/>
      <c r="AG1000" s="91"/>
      <c r="AH1000" s="91"/>
      <c r="AI1000" s="91"/>
      <c r="AJ1000" s="91"/>
      <c r="AK1000" s="91"/>
      <c r="AL1000" s="91"/>
      <c r="AM1000" s="91"/>
      <c r="AN1000" s="91"/>
    </row>
    <row r="1001">
      <c r="A1001" s="164"/>
      <c r="B1001" s="165"/>
      <c r="C1001" s="165"/>
      <c r="D1001" s="164"/>
      <c r="E1001" s="164"/>
      <c r="F1001" s="164"/>
      <c r="G1001" s="91"/>
      <c r="H1001" s="91"/>
      <c r="I1001" s="91"/>
      <c r="J1001" s="91"/>
      <c r="K1001" s="160"/>
      <c r="L1001" s="160"/>
      <c r="M1001" s="160"/>
      <c r="N1001" s="160"/>
      <c r="O1001" s="160"/>
      <c r="P1001" s="91"/>
      <c r="Q1001" s="91"/>
      <c r="R1001" s="91"/>
      <c r="S1001" s="91"/>
      <c r="T1001" s="91"/>
      <c r="U1001" s="91"/>
      <c r="V1001" s="91"/>
      <c r="W1001" s="91"/>
      <c r="X1001" s="91"/>
      <c r="Y1001" s="91"/>
      <c r="Z1001" s="91"/>
      <c r="AA1001" s="91"/>
      <c r="AB1001" s="91"/>
      <c r="AC1001" s="91"/>
      <c r="AD1001" s="91"/>
      <c r="AE1001" s="91"/>
      <c r="AF1001" s="91"/>
      <c r="AG1001" s="91"/>
      <c r="AH1001" s="91"/>
      <c r="AI1001" s="91"/>
      <c r="AJ1001" s="91"/>
      <c r="AK1001" s="91"/>
      <c r="AL1001" s="91"/>
      <c r="AM1001" s="91"/>
      <c r="AN1001" s="91"/>
    </row>
    <row r="1002">
      <c r="A1002" s="164"/>
      <c r="B1002" s="165"/>
      <c r="C1002" s="165"/>
      <c r="D1002" s="164"/>
      <c r="E1002" s="164"/>
      <c r="F1002" s="164"/>
      <c r="G1002" s="91"/>
      <c r="H1002" s="91"/>
      <c r="I1002" s="91"/>
      <c r="J1002" s="91"/>
      <c r="K1002" s="160"/>
      <c r="L1002" s="160"/>
      <c r="M1002" s="160"/>
      <c r="N1002" s="160"/>
      <c r="O1002" s="160"/>
      <c r="P1002" s="91"/>
      <c r="Q1002" s="91"/>
      <c r="R1002" s="91"/>
      <c r="S1002" s="91"/>
      <c r="T1002" s="91"/>
      <c r="U1002" s="91"/>
      <c r="V1002" s="91"/>
      <c r="W1002" s="91"/>
      <c r="X1002" s="91"/>
      <c r="Y1002" s="91"/>
      <c r="Z1002" s="91"/>
      <c r="AA1002" s="91"/>
      <c r="AB1002" s="91"/>
      <c r="AC1002" s="91"/>
      <c r="AD1002" s="91"/>
      <c r="AE1002" s="91"/>
      <c r="AF1002" s="91"/>
      <c r="AG1002" s="91"/>
      <c r="AH1002" s="91"/>
      <c r="AI1002" s="91"/>
      <c r="AJ1002" s="91"/>
      <c r="AK1002" s="91"/>
      <c r="AL1002" s="91"/>
      <c r="AM1002" s="91"/>
      <c r="AN1002" s="91"/>
    </row>
    <row r="1003">
      <c r="A1003" s="164"/>
      <c r="B1003" s="165"/>
      <c r="C1003" s="165"/>
      <c r="D1003" s="164"/>
      <c r="E1003" s="164"/>
      <c r="F1003" s="164"/>
      <c r="G1003" s="91"/>
      <c r="H1003" s="91"/>
      <c r="I1003" s="91"/>
      <c r="J1003" s="91"/>
      <c r="K1003" s="160"/>
      <c r="L1003" s="160"/>
      <c r="M1003" s="160"/>
      <c r="N1003" s="160"/>
      <c r="O1003" s="160"/>
      <c r="P1003" s="91"/>
      <c r="Q1003" s="91"/>
      <c r="R1003" s="91"/>
      <c r="S1003" s="91"/>
      <c r="T1003" s="91"/>
      <c r="U1003" s="91"/>
      <c r="V1003" s="91"/>
      <c r="W1003" s="91"/>
      <c r="X1003" s="91"/>
      <c r="Y1003" s="91"/>
      <c r="Z1003" s="91"/>
      <c r="AA1003" s="91"/>
      <c r="AB1003" s="91"/>
      <c r="AC1003" s="91"/>
      <c r="AD1003" s="91"/>
      <c r="AE1003" s="91"/>
      <c r="AF1003" s="91"/>
      <c r="AG1003" s="91"/>
      <c r="AH1003" s="91"/>
      <c r="AI1003" s="91"/>
      <c r="AJ1003" s="91"/>
      <c r="AK1003" s="91"/>
      <c r="AL1003" s="91"/>
      <c r="AM1003" s="91"/>
      <c r="AN1003" s="91"/>
    </row>
    <row r="1004">
      <c r="A1004" s="164"/>
      <c r="B1004" s="165"/>
      <c r="C1004" s="165"/>
      <c r="D1004" s="164"/>
      <c r="E1004" s="164"/>
      <c r="F1004" s="164"/>
      <c r="G1004" s="91"/>
      <c r="H1004" s="91"/>
      <c r="I1004" s="91"/>
      <c r="J1004" s="91"/>
      <c r="K1004" s="160"/>
      <c r="L1004" s="160"/>
      <c r="M1004" s="160"/>
      <c r="N1004" s="160"/>
      <c r="O1004" s="160"/>
      <c r="P1004" s="91"/>
      <c r="Q1004" s="91"/>
      <c r="R1004" s="91"/>
      <c r="S1004" s="91"/>
      <c r="T1004" s="91"/>
      <c r="U1004" s="91"/>
      <c r="V1004" s="91"/>
      <c r="W1004" s="91"/>
      <c r="X1004" s="91"/>
      <c r="Y1004" s="91"/>
      <c r="Z1004" s="91"/>
      <c r="AA1004" s="91"/>
      <c r="AB1004" s="91"/>
      <c r="AC1004" s="91"/>
      <c r="AD1004" s="91"/>
      <c r="AE1004" s="91"/>
      <c r="AF1004" s="91"/>
      <c r="AG1004" s="91"/>
      <c r="AH1004" s="91"/>
      <c r="AI1004" s="91"/>
      <c r="AJ1004" s="91"/>
      <c r="AK1004" s="91"/>
      <c r="AL1004" s="91"/>
      <c r="AM1004" s="91"/>
      <c r="AN1004" s="91"/>
    </row>
    <row r="1005">
      <c r="A1005" s="164"/>
      <c r="B1005" s="165"/>
      <c r="C1005" s="165"/>
      <c r="D1005" s="164"/>
      <c r="E1005" s="164"/>
      <c r="F1005" s="164"/>
      <c r="G1005" s="91"/>
      <c r="H1005" s="91"/>
      <c r="I1005" s="91"/>
      <c r="J1005" s="91"/>
      <c r="K1005" s="160"/>
      <c r="L1005" s="160"/>
      <c r="M1005" s="160"/>
      <c r="N1005" s="160"/>
      <c r="O1005" s="160"/>
      <c r="P1005" s="91"/>
      <c r="Q1005" s="91"/>
      <c r="R1005" s="91"/>
      <c r="S1005" s="91"/>
      <c r="T1005" s="91"/>
      <c r="U1005" s="91"/>
      <c r="V1005" s="91"/>
      <c r="W1005" s="91"/>
      <c r="X1005" s="91"/>
      <c r="Y1005" s="91"/>
      <c r="Z1005" s="91"/>
      <c r="AA1005" s="91"/>
      <c r="AB1005" s="91"/>
      <c r="AC1005" s="91"/>
      <c r="AD1005" s="91"/>
      <c r="AE1005" s="91"/>
      <c r="AF1005" s="91"/>
      <c r="AG1005" s="91"/>
      <c r="AH1005" s="91"/>
      <c r="AI1005" s="91"/>
      <c r="AJ1005" s="91"/>
      <c r="AK1005" s="91"/>
      <c r="AL1005" s="91"/>
      <c r="AM1005" s="91"/>
      <c r="AN1005" s="91"/>
    </row>
    <row r="1006">
      <c r="A1006" s="164"/>
      <c r="B1006" s="165"/>
      <c r="C1006" s="165"/>
      <c r="D1006" s="164"/>
      <c r="E1006" s="164"/>
      <c r="F1006" s="164"/>
      <c r="G1006" s="91"/>
      <c r="H1006" s="91"/>
      <c r="I1006" s="91"/>
      <c r="J1006" s="91"/>
      <c r="K1006" s="160"/>
      <c r="L1006" s="160"/>
      <c r="M1006" s="160"/>
      <c r="N1006" s="160"/>
      <c r="O1006" s="160"/>
      <c r="P1006" s="91"/>
      <c r="Q1006" s="91"/>
      <c r="R1006" s="91"/>
      <c r="S1006" s="91"/>
      <c r="T1006" s="91"/>
      <c r="U1006" s="91"/>
      <c r="V1006" s="91"/>
      <c r="W1006" s="91"/>
      <c r="X1006" s="91"/>
      <c r="Y1006" s="91"/>
      <c r="Z1006" s="91"/>
      <c r="AA1006" s="91"/>
      <c r="AB1006" s="91"/>
      <c r="AC1006" s="91"/>
      <c r="AD1006" s="91"/>
      <c r="AE1006" s="91"/>
      <c r="AF1006" s="91"/>
      <c r="AG1006" s="91"/>
      <c r="AH1006" s="91"/>
      <c r="AI1006" s="91"/>
      <c r="AJ1006" s="91"/>
      <c r="AK1006" s="91"/>
      <c r="AL1006" s="91"/>
      <c r="AM1006" s="91"/>
      <c r="AN1006" s="91"/>
    </row>
    <row r="1007">
      <c r="A1007" s="164"/>
      <c r="B1007" s="165"/>
      <c r="C1007" s="165"/>
      <c r="D1007" s="164"/>
      <c r="E1007" s="164"/>
      <c r="F1007" s="164"/>
      <c r="G1007" s="91"/>
      <c r="H1007" s="91"/>
      <c r="I1007" s="91"/>
      <c r="J1007" s="91"/>
      <c r="K1007" s="160"/>
      <c r="L1007" s="160"/>
      <c r="M1007" s="160"/>
      <c r="N1007" s="160"/>
      <c r="O1007" s="160"/>
      <c r="P1007" s="91"/>
      <c r="Q1007" s="91"/>
      <c r="R1007" s="91"/>
      <c r="S1007" s="91"/>
      <c r="T1007" s="91"/>
      <c r="U1007" s="91"/>
      <c r="V1007" s="91"/>
      <c r="W1007" s="91"/>
      <c r="X1007" s="91"/>
      <c r="Y1007" s="91"/>
      <c r="Z1007" s="91"/>
      <c r="AA1007" s="91"/>
      <c r="AB1007" s="91"/>
      <c r="AC1007" s="91"/>
      <c r="AD1007" s="91"/>
      <c r="AE1007" s="91"/>
      <c r="AF1007" s="91"/>
      <c r="AG1007" s="91"/>
      <c r="AH1007" s="91"/>
      <c r="AI1007" s="91"/>
      <c r="AJ1007" s="91"/>
      <c r="AK1007" s="91"/>
      <c r="AL1007" s="91"/>
      <c r="AM1007" s="91"/>
      <c r="AN1007" s="91"/>
    </row>
    <row r="1008">
      <c r="A1008" s="164"/>
      <c r="B1008" s="165"/>
      <c r="C1008" s="165"/>
      <c r="D1008" s="164"/>
      <c r="E1008" s="164"/>
      <c r="F1008" s="164"/>
      <c r="G1008" s="91"/>
      <c r="H1008" s="91"/>
      <c r="I1008" s="91"/>
      <c r="J1008" s="91"/>
      <c r="K1008" s="160"/>
      <c r="L1008" s="160"/>
      <c r="M1008" s="160"/>
      <c r="N1008" s="160"/>
      <c r="O1008" s="160"/>
      <c r="P1008" s="91"/>
      <c r="Q1008" s="91"/>
      <c r="R1008" s="91"/>
      <c r="S1008" s="91"/>
      <c r="T1008" s="91"/>
      <c r="U1008" s="91"/>
      <c r="V1008" s="91"/>
      <c r="W1008" s="91"/>
      <c r="X1008" s="91"/>
      <c r="Y1008" s="91"/>
      <c r="Z1008" s="91"/>
      <c r="AA1008" s="91"/>
      <c r="AB1008" s="91"/>
      <c r="AC1008" s="91"/>
      <c r="AD1008" s="91"/>
      <c r="AE1008" s="91"/>
      <c r="AF1008" s="91"/>
      <c r="AG1008" s="91"/>
      <c r="AH1008" s="91"/>
      <c r="AI1008" s="91"/>
      <c r="AJ1008" s="91"/>
      <c r="AK1008" s="91"/>
      <c r="AL1008" s="91"/>
      <c r="AM1008" s="91"/>
      <c r="AN1008" s="91"/>
    </row>
  </sheetData>
  <autoFilter ref="$K$2:$O$34"/>
  <mergeCells count="10">
    <mergeCell ref="Z3:AA3"/>
    <mergeCell ref="AB3:AC3"/>
    <mergeCell ref="Q1:W1"/>
    <mergeCell ref="AB2:AC2"/>
    <mergeCell ref="AD2:AE2"/>
    <mergeCell ref="R3:S3"/>
    <mergeCell ref="T3:U3"/>
    <mergeCell ref="V3:W3"/>
    <mergeCell ref="X3:Y3"/>
    <mergeCell ref="AD3:AE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6.86"/>
    <col customWidth="1" min="2" max="2" width="42.86"/>
    <col customWidth="1" min="3" max="3" width="25.57"/>
    <col hidden="1" min="4" max="5" width="14.43"/>
    <col customWidth="1" hidden="1" min="6" max="6" width="19.71"/>
    <col hidden="1" min="7" max="15" width="14.43"/>
    <col customWidth="1" min="17" max="17" width="19.86"/>
    <col customWidth="1" min="18" max="19" width="23.0"/>
  </cols>
  <sheetData>
    <row r="1">
      <c r="A1" s="166" t="s">
        <v>0</v>
      </c>
      <c r="B1" s="166" t="s">
        <v>233</v>
      </c>
      <c r="C1" s="166" t="s">
        <v>234</v>
      </c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6" t="s">
        <v>0</v>
      </c>
      <c r="Q1" s="167"/>
      <c r="R1" s="166" t="s">
        <v>235</v>
      </c>
      <c r="S1" s="166" t="s">
        <v>5</v>
      </c>
    </row>
    <row r="2">
      <c r="A2" s="168" t="str">
        <f>IFERROR(__xludf.DUMMYFUNCTION("sort(IMPORTRANGE(""https://docs.google.com/spreadsheets/d/1t0LXpDEnSUuwI7plHOWblfKQZ25A9yzd-2FXYXGKJBc/edit#gid=2099439675"",""2. Базовый состав ИСП!A2:M""),2,TRUE)"),"Беринга 27_ГП-1")</f>
        <v>Беринга 27_ГП-1</v>
      </c>
      <c r="B2" s="169" t="str">
        <f>IFERROR(__xludf.DUMMYFUNCTION("""COMPUTED_VALUE"""),"Беринга 27")</f>
        <v>Беринга 27</v>
      </c>
      <c r="C2" s="169" t="str">
        <f>IFERROR(__xludf.DUMMYFUNCTION("""COMPUTED_VALUE"""),"ГП-1")</f>
        <v>ГП-1</v>
      </c>
      <c r="D2" s="168" t="str">
        <f>IFERROR(__xludf.DUMMYFUNCTION("""COMPUTED_VALUE"""),"ГП")</f>
        <v>ГП</v>
      </c>
      <c r="E2" s="168">
        <f>IFERROR(__xludf.DUMMYFUNCTION("""COMPUTED_VALUE"""),1.0)</f>
        <v>1</v>
      </c>
      <c r="F2" s="168" t="str">
        <f>IFERROR(__xludf.DUMMYFUNCTION("""COMPUTED_VALUE"""),"🏠")</f>
        <v>🏠</v>
      </c>
      <c r="G2" s="170" t="str">
        <f>IFERROR(__xludf.DUMMYFUNCTION("""COMPUTED_VALUE"""),"Санкт-Петербург")</f>
        <v>Санкт-Петербург</v>
      </c>
      <c r="H2" s="168" t="str">
        <f>IFERROR(__xludf.DUMMYFUNCTION("""COMPUTED_VALUE"""),"Бизнес")</f>
        <v>Бизнес</v>
      </c>
      <c r="I2" s="168" t="str">
        <f>IFERROR(__xludf.DUMMYFUNCTION("""COMPUTED_VALUE"""),"Тюмень")</f>
        <v>Тюмень</v>
      </c>
      <c r="J2" s="170">
        <f>IFERROR(__xludf.DUMMYFUNCTION("""COMPUTED_VALUE"""),44951.0)</f>
        <v>44951</v>
      </c>
      <c r="K2" s="168">
        <f>IFERROR(__xludf.DUMMYFUNCTION("""COMPUTED_VALUE"""),17080.13)</f>
        <v>17080.13</v>
      </c>
      <c r="L2" s="171" t="str">
        <f>IFERROR(__xludf.DUMMYFUNCTION("""COMPUTED_VALUE"""),"Построен")</f>
        <v>Построен</v>
      </c>
      <c r="M2" s="172">
        <f>IFERROR(__xludf.DUMMYFUNCTION("""COMPUTED_VALUE"""),200000.0)</f>
        <v>200000</v>
      </c>
      <c r="P2" s="168" t="str">
        <f>IFERROR(__xludf.DUMMYFUNCTION("IMPORTRANGE(""https://docs.google.com/spreadsheets/d/1t0LXpDEnSUuwI7plHOWblfKQZ25A9yzd-2FXYXGKJBc/edit#gid=0"",""ИСП!U2:V"")"),"ТМН")</f>
        <v>ТМН</v>
      </c>
      <c r="Q2" s="168" t="str">
        <f>IFERROR(__xludf.DUMMYFUNCTION("""COMPUTED_VALUE"""),"Тюмень")</f>
        <v>Тюмень</v>
      </c>
      <c r="R2" s="168" t="s">
        <v>25</v>
      </c>
      <c r="S2" s="173" t="s">
        <v>26</v>
      </c>
    </row>
    <row r="3">
      <c r="A3" s="168" t="str">
        <f>IFERROR(__xludf.DUMMYFUNCTION("""COMPUTED_VALUE"""),"Беринга 27_ГП-2")</f>
        <v>Беринга 27_ГП-2</v>
      </c>
      <c r="B3" s="168" t="str">
        <f>IFERROR(__xludf.DUMMYFUNCTION("""COMPUTED_VALUE"""),"Беринга 27")</f>
        <v>Беринга 27</v>
      </c>
      <c r="C3" s="168" t="str">
        <f>IFERROR(__xludf.DUMMYFUNCTION("""COMPUTED_VALUE"""),"ГП-2")</f>
        <v>ГП-2</v>
      </c>
      <c r="D3" s="168" t="str">
        <f>IFERROR(__xludf.DUMMYFUNCTION("""COMPUTED_VALUE"""),"ГП")</f>
        <v>ГП</v>
      </c>
      <c r="E3" s="168">
        <f>IFERROR(__xludf.DUMMYFUNCTION("""COMPUTED_VALUE"""),2.0)</f>
        <v>2</v>
      </c>
      <c r="F3" s="168" t="str">
        <f>IFERROR(__xludf.DUMMYFUNCTION("""COMPUTED_VALUE"""),"🚗")</f>
        <v>🚗</v>
      </c>
      <c r="G3" s="170" t="str">
        <f>IFERROR(__xludf.DUMMYFUNCTION("""COMPUTED_VALUE"""),"Санкт-Петербург")</f>
        <v>Санкт-Петербург</v>
      </c>
      <c r="H3" s="168"/>
      <c r="I3" s="168" t="str">
        <f>IFERROR(__xludf.DUMMYFUNCTION("""COMPUTED_VALUE"""),"Тюмень")</f>
        <v>Тюмень</v>
      </c>
      <c r="J3" s="170">
        <f>IFERROR(__xludf.DUMMYFUNCTION("""COMPUTED_VALUE"""),44988.0)</f>
        <v>44988</v>
      </c>
      <c r="K3" s="168">
        <f>IFERROR(__xludf.DUMMYFUNCTION("""COMPUTED_VALUE"""),2305.5)</f>
        <v>2305.5</v>
      </c>
      <c r="L3" s="168" t="str">
        <f>IFERROR(__xludf.DUMMYFUNCTION("""COMPUTED_VALUE"""),"#N/A")</f>
        <v>#N/A</v>
      </c>
      <c r="M3" s="172">
        <f>IFERROR(__xludf.DUMMYFUNCTION("""COMPUTED_VALUE"""),200000.0)</f>
        <v>200000</v>
      </c>
      <c r="P3" s="168" t="str">
        <f>IFERROR(__xludf.DUMMYFUNCTION("""COMPUTED_VALUE"""),"ВН")</f>
        <v>ВН</v>
      </c>
      <c r="Q3" s="168" t="str">
        <f>IFERROR(__xludf.DUMMYFUNCTION("""COMPUTED_VALUE"""),"Внешний")</f>
        <v>Внешний</v>
      </c>
      <c r="R3" s="168" t="s">
        <v>55</v>
      </c>
      <c r="S3" s="173" t="s">
        <v>57</v>
      </c>
    </row>
    <row r="4">
      <c r="A4" s="168" t="str">
        <f>IFERROR(__xludf.DUMMYFUNCTION("""COMPUTED_VALUE"""),"Гольяново_")</f>
        <v>Гольяново_</v>
      </c>
      <c r="B4" s="168" t="str">
        <f>IFERROR(__xludf.DUMMYFUNCTION("""COMPUTED_VALUE"""),"Гольяново")</f>
        <v>Гольяново</v>
      </c>
      <c r="C4" s="168"/>
      <c r="D4" s="168" t="str">
        <f>IFERROR(__xludf.DUMMYFUNCTION("""COMPUTED_VALUE"""),"#VALUE!")</f>
        <v>#VALUE!</v>
      </c>
      <c r="E4" s="168"/>
      <c r="F4" s="168" t="str">
        <f>IFERROR(__xludf.DUMMYFUNCTION("""COMPUTED_VALUE"""),"🏠")</f>
        <v>🏠</v>
      </c>
      <c r="G4" s="170" t="str">
        <f>IFERROR(__xludf.DUMMYFUNCTION("""COMPUTED_VALUE"""),"Москва")</f>
        <v>Москва</v>
      </c>
      <c r="H4" s="168" t="str">
        <f>IFERROR(__xludf.DUMMYFUNCTION("""COMPUTED_VALUE"""),"Бизнес")</f>
        <v>Бизнес</v>
      </c>
      <c r="I4" s="168" t="str">
        <f>IFERROR(__xludf.DUMMYFUNCTION("""COMPUTED_VALUE"""),"Внешний")</f>
        <v>Внешний</v>
      </c>
      <c r="J4" s="170">
        <f>IFERROR(__xludf.DUMMYFUNCTION("""COMPUTED_VALUE"""),44951.0)</f>
        <v>44951</v>
      </c>
      <c r="K4" s="168">
        <f>IFERROR(__xludf.DUMMYFUNCTION("""COMPUTED_VALUE"""),9730.0)</f>
        <v>9730</v>
      </c>
      <c r="L4" s="171" t="str">
        <f>IFERROR(__xludf.DUMMYFUNCTION("""COMPUTED_VALUE"""),"Новые")</f>
        <v>Новые</v>
      </c>
      <c r="M4" s="172">
        <f>IFERROR(__xludf.DUMMYFUNCTION("""COMPUTED_VALUE"""),200000.0)</f>
        <v>200000</v>
      </c>
      <c r="P4" s="168" t="str">
        <f>IFERROR(__xludf.DUMMYFUNCTION("""COMPUTED_VALUE"""),"СПБ")</f>
        <v>СПБ</v>
      </c>
      <c r="Q4" s="168" t="str">
        <f>IFERROR(__xludf.DUMMYFUNCTION("""COMPUTED_VALUE"""),"Санкт-Петербург")</f>
        <v>Санкт-Петербург</v>
      </c>
      <c r="R4" s="168" t="s">
        <v>166</v>
      </c>
      <c r="S4" s="173" t="s">
        <v>44</v>
      </c>
    </row>
    <row r="5">
      <c r="A5" s="168" t="str">
        <f>IFERROR(__xludf.DUMMYFUNCTION("""COMPUTED_VALUE"""),"Дамбовская_ГП-1")</f>
        <v>Дамбовская_ГП-1</v>
      </c>
      <c r="B5" s="168" t="str">
        <f>IFERROR(__xludf.DUMMYFUNCTION("""COMPUTED_VALUE"""),"Дамбовская")</f>
        <v>Дамбовская</v>
      </c>
      <c r="C5" s="168" t="str">
        <f>IFERROR(__xludf.DUMMYFUNCTION("""COMPUTED_VALUE"""),"ГП-1")</f>
        <v>ГП-1</v>
      </c>
      <c r="D5" s="168" t="str">
        <f>IFERROR(__xludf.DUMMYFUNCTION("""COMPUTED_VALUE"""),"ГП")</f>
        <v>ГП</v>
      </c>
      <c r="E5" s="168">
        <f>IFERROR(__xludf.DUMMYFUNCTION("""COMPUTED_VALUE"""),1.0)</f>
        <v>1</v>
      </c>
      <c r="F5" s="168" t="str">
        <f>IFERROR(__xludf.DUMMYFUNCTION("""COMPUTED_VALUE"""),"🏠")</f>
        <v>🏠</v>
      </c>
      <c r="G5" s="168" t="str">
        <f>IFERROR(__xludf.DUMMYFUNCTION("""COMPUTED_VALUE"""),"Тюмень")</f>
        <v>Тюмень</v>
      </c>
      <c r="H5" s="168" t="str">
        <f>IFERROR(__xludf.DUMMYFUNCTION("""COMPUTED_VALUE"""),"Комфорт")</f>
        <v>Комфорт</v>
      </c>
      <c r="I5" s="168" t="str">
        <f>IFERROR(__xludf.DUMMYFUNCTION("""COMPUTED_VALUE"""),"Тюмень")</f>
        <v>Тюмень</v>
      </c>
      <c r="J5" s="170">
        <f>IFERROR(__xludf.DUMMYFUNCTION("""COMPUTED_VALUE"""),45001.0)</f>
        <v>45001</v>
      </c>
      <c r="K5" s="174">
        <f>IFERROR(__xludf.DUMMYFUNCTION("""COMPUTED_VALUE"""),38460.0)</f>
        <v>38460</v>
      </c>
      <c r="L5" s="171" t="str">
        <f>IFERROR(__xludf.DUMMYFUNCTION("""COMPUTED_VALUE"""),"В работе")</f>
        <v>В работе</v>
      </c>
      <c r="M5" s="172">
        <f>IFERROR(__xludf.DUMMYFUNCTION("""COMPUTED_VALUE"""),100000.0)</f>
        <v>100000</v>
      </c>
      <c r="P5" s="168" t="str">
        <f>IFERROR(__xludf.DUMMYFUNCTION("""COMPUTED_VALUE"""),"КРДР")</f>
        <v>КРДР</v>
      </c>
      <c r="Q5" s="168" t="str">
        <f>IFERROR(__xludf.DUMMYFUNCTION("""COMPUTED_VALUE"""),"Краснодар")</f>
        <v>Краснодар</v>
      </c>
      <c r="S5" s="173" t="s">
        <v>74</v>
      </c>
    </row>
    <row r="6">
      <c r="A6" s="168" t="str">
        <f>IFERROR(__xludf.DUMMYFUNCTION("""COMPUTED_VALUE"""),"Домодедово_ГП-1")</f>
        <v>Домодедово_ГП-1</v>
      </c>
      <c r="B6" s="168" t="str">
        <f>IFERROR(__xludf.DUMMYFUNCTION("""COMPUTED_VALUE"""),"Домодедово")</f>
        <v>Домодедово</v>
      </c>
      <c r="C6" s="168" t="str">
        <f>IFERROR(__xludf.DUMMYFUNCTION("""COMPUTED_VALUE"""),"ГП-1")</f>
        <v>ГП-1</v>
      </c>
      <c r="D6" s="168" t="str">
        <f>IFERROR(__xludf.DUMMYFUNCTION("""COMPUTED_VALUE"""),"ГП")</f>
        <v>ГП</v>
      </c>
      <c r="E6" s="168">
        <f>IFERROR(__xludf.DUMMYFUNCTION("""COMPUTED_VALUE"""),1.0)</f>
        <v>1</v>
      </c>
      <c r="F6" s="168" t="str">
        <f>IFERROR(__xludf.DUMMYFUNCTION("""COMPUTED_VALUE"""),"🏠")</f>
        <v>🏠</v>
      </c>
      <c r="G6" s="170" t="str">
        <f>IFERROR(__xludf.DUMMYFUNCTION("""COMPUTED_VALUE"""),"Московская область")</f>
        <v>Московская область</v>
      </c>
      <c r="H6" s="168" t="str">
        <f>IFERROR(__xludf.DUMMYFUNCTION("""COMPUTED_VALUE"""),"Стандарт")</f>
        <v>Стандарт</v>
      </c>
      <c r="I6" s="168" t="str">
        <f>IFERROR(__xludf.DUMMYFUNCTION("""COMPUTED_VALUE"""),"Ростов-на-Дону")</f>
        <v>Ростов-на-Дону</v>
      </c>
      <c r="J6" s="170">
        <f>IFERROR(__xludf.DUMMYFUNCTION("""COMPUTED_VALUE"""),44951.0)</f>
        <v>44951</v>
      </c>
      <c r="K6" s="168">
        <f>IFERROR(__xludf.DUMMYFUNCTION("""COMPUTED_VALUE"""),37121.75)</f>
        <v>37121.75</v>
      </c>
      <c r="L6" s="171" t="str">
        <f>IFERROR(__xludf.DUMMYFUNCTION("""COMPUTED_VALUE"""),"В работе")</f>
        <v>В работе</v>
      </c>
      <c r="M6" s="172">
        <f>IFERROR(__xludf.DUMMYFUNCTION("""COMPUTED_VALUE"""),200000.0)</f>
        <v>200000</v>
      </c>
      <c r="P6" s="168" t="str">
        <f>IFERROR(__xludf.DUMMYFUNCTION("""COMPUTED_VALUE"""),"РНД")</f>
        <v>РНД</v>
      </c>
      <c r="Q6" s="168" t="str">
        <f>IFERROR(__xludf.DUMMYFUNCTION("""COMPUTED_VALUE"""),"Ростов-на-Дону")</f>
        <v>Ростов-на-Дону</v>
      </c>
      <c r="S6" s="173" t="s">
        <v>32</v>
      </c>
    </row>
    <row r="7">
      <c r="A7" s="168" t="str">
        <f>IFERROR(__xludf.DUMMYFUNCTION("""COMPUTED_VALUE"""),"Домодедово_ГП-2")</f>
        <v>Домодедово_ГП-2</v>
      </c>
      <c r="B7" s="168" t="str">
        <f>IFERROR(__xludf.DUMMYFUNCTION("""COMPUTED_VALUE"""),"Домодедово")</f>
        <v>Домодедово</v>
      </c>
      <c r="C7" s="168" t="str">
        <f>IFERROR(__xludf.DUMMYFUNCTION("""COMPUTED_VALUE"""),"ГП-2")</f>
        <v>ГП-2</v>
      </c>
      <c r="D7" s="168" t="str">
        <f>IFERROR(__xludf.DUMMYFUNCTION("""COMPUTED_VALUE"""),"ГП")</f>
        <v>ГП</v>
      </c>
      <c r="E7" s="168">
        <f>IFERROR(__xludf.DUMMYFUNCTION("""COMPUTED_VALUE"""),2.0)</f>
        <v>2</v>
      </c>
      <c r="F7" s="168" t="str">
        <f>IFERROR(__xludf.DUMMYFUNCTION("""COMPUTED_VALUE"""),"🏠")</f>
        <v>🏠</v>
      </c>
      <c r="G7" s="170" t="str">
        <f>IFERROR(__xludf.DUMMYFUNCTION("""COMPUTED_VALUE"""),"Московская область")</f>
        <v>Московская область</v>
      </c>
      <c r="H7" s="168" t="str">
        <f>IFERROR(__xludf.DUMMYFUNCTION("""COMPUTED_VALUE"""),"Стандарт")</f>
        <v>Стандарт</v>
      </c>
      <c r="I7" s="168" t="str">
        <f>IFERROR(__xludf.DUMMYFUNCTION("""COMPUTED_VALUE"""),"Ростов-на-Дону")</f>
        <v>Ростов-на-Дону</v>
      </c>
      <c r="J7" s="170">
        <f>IFERROR(__xludf.DUMMYFUNCTION("""COMPUTED_VALUE"""),44951.0)</f>
        <v>44951</v>
      </c>
      <c r="K7" s="168">
        <f>IFERROR(__xludf.DUMMYFUNCTION("""COMPUTED_VALUE"""),28200.0)</f>
        <v>28200</v>
      </c>
      <c r="L7" s="168" t="str">
        <f>IFERROR(__xludf.DUMMYFUNCTION("""COMPUTED_VALUE"""),"#N/A")</f>
        <v>#N/A</v>
      </c>
      <c r="M7" s="172">
        <f>IFERROR(__xludf.DUMMYFUNCTION("""COMPUTED_VALUE"""),200000.0)</f>
        <v>200000</v>
      </c>
      <c r="P7" s="168" t="str">
        <f>IFERROR(__xludf.DUMMYFUNCTION("""COMPUTED_VALUE"""),"МСК")</f>
        <v>МСК</v>
      </c>
      <c r="Q7" s="168" t="str">
        <f>IFERROR(__xludf.DUMMYFUNCTION("""COMPUTED_VALUE"""),"Москва")</f>
        <v>Москва</v>
      </c>
      <c r="S7" s="173" t="s">
        <v>68</v>
      </c>
    </row>
    <row r="8">
      <c r="A8" s="168" t="str">
        <f>IFERROR(__xludf.DUMMYFUNCTION("""COMPUTED_VALUE"""),"Домодедово_ГП-3")</f>
        <v>Домодедово_ГП-3</v>
      </c>
      <c r="B8" s="168" t="str">
        <f>IFERROR(__xludf.DUMMYFUNCTION("""COMPUTED_VALUE"""),"Домодедово")</f>
        <v>Домодедово</v>
      </c>
      <c r="C8" s="168" t="str">
        <f>IFERROR(__xludf.DUMMYFUNCTION("""COMPUTED_VALUE"""),"ГП-3")</f>
        <v>ГП-3</v>
      </c>
      <c r="D8" s="168" t="str">
        <f>IFERROR(__xludf.DUMMYFUNCTION("""COMPUTED_VALUE"""),"ГП")</f>
        <v>ГП</v>
      </c>
      <c r="E8" s="168">
        <f>IFERROR(__xludf.DUMMYFUNCTION("""COMPUTED_VALUE"""),3.0)</f>
        <v>3</v>
      </c>
      <c r="F8" s="168" t="str">
        <f>IFERROR(__xludf.DUMMYFUNCTION("""COMPUTED_VALUE"""),"🏠")</f>
        <v>🏠</v>
      </c>
      <c r="G8" s="170" t="str">
        <f>IFERROR(__xludf.DUMMYFUNCTION("""COMPUTED_VALUE"""),"Московская область")</f>
        <v>Московская область</v>
      </c>
      <c r="H8" s="168" t="str">
        <f>IFERROR(__xludf.DUMMYFUNCTION("""COMPUTED_VALUE"""),"Стандарт")</f>
        <v>Стандарт</v>
      </c>
      <c r="I8" s="168" t="str">
        <f>IFERROR(__xludf.DUMMYFUNCTION("""COMPUTED_VALUE"""),"Ростов-на-Дону")</f>
        <v>Ростов-на-Дону</v>
      </c>
      <c r="J8" s="170">
        <f>IFERROR(__xludf.DUMMYFUNCTION("""COMPUTED_VALUE"""),44951.0)</f>
        <v>44951</v>
      </c>
      <c r="K8" s="168">
        <f>IFERROR(__xludf.DUMMYFUNCTION("""COMPUTED_VALUE"""),21850.0)</f>
        <v>21850</v>
      </c>
      <c r="L8" s="171" t="str">
        <f>IFERROR(__xludf.DUMMYFUNCTION("""COMPUTED_VALUE"""),"Новые")</f>
        <v>Новые</v>
      </c>
      <c r="M8" s="172">
        <f>IFERROR(__xludf.DUMMYFUNCTION("""COMPUTED_VALUE"""),200000.0)</f>
        <v>200000</v>
      </c>
      <c r="P8" s="168" t="str">
        <f>IFERROR(__xludf.DUMMYFUNCTION("""COMPUTED_VALUE"""),"НР/ТЕК")</f>
        <v>НР/ТЕК</v>
      </c>
      <c r="Q8" s="168" t="str">
        <f>IFERROR(__xludf.DUMMYFUNCTION("""COMPUTED_VALUE"""),"НР/Текущие ")</f>
        <v>НР/Текущие </v>
      </c>
      <c r="S8" s="173" t="s">
        <v>236</v>
      </c>
    </row>
    <row r="9">
      <c r="A9" s="168" t="str">
        <f>IFERROR(__xludf.DUMMYFUNCTION("""COMPUTED_VALUE"""),"Домодедово_ГП-4")</f>
        <v>Домодедово_ГП-4</v>
      </c>
      <c r="B9" s="168" t="str">
        <f>IFERROR(__xludf.DUMMYFUNCTION("""COMPUTED_VALUE"""),"Домодедово")</f>
        <v>Домодедово</v>
      </c>
      <c r="C9" s="168" t="str">
        <f>IFERROR(__xludf.DUMMYFUNCTION("""COMPUTED_VALUE"""),"ГП-4")</f>
        <v>ГП-4</v>
      </c>
      <c r="D9" s="168" t="str">
        <f>IFERROR(__xludf.DUMMYFUNCTION("""COMPUTED_VALUE"""),"ГП")</f>
        <v>ГП</v>
      </c>
      <c r="E9" s="168">
        <f>IFERROR(__xludf.DUMMYFUNCTION("""COMPUTED_VALUE"""),4.0)</f>
        <v>4</v>
      </c>
      <c r="F9" s="168" t="str">
        <f>IFERROR(__xludf.DUMMYFUNCTION("""COMPUTED_VALUE"""),"🏠")</f>
        <v>🏠</v>
      </c>
      <c r="G9" s="170" t="str">
        <f>IFERROR(__xludf.DUMMYFUNCTION("""COMPUTED_VALUE"""),"Московская область")</f>
        <v>Московская область</v>
      </c>
      <c r="H9" s="168" t="str">
        <f>IFERROR(__xludf.DUMMYFUNCTION("""COMPUTED_VALUE"""),"Стандарт")</f>
        <v>Стандарт</v>
      </c>
      <c r="I9" s="168" t="str">
        <f>IFERROR(__xludf.DUMMYFUNCTION("""COMPUTED_VALUE"""),"Краснодар")</f>
        <v>Краснодар</v>
      </c>
      <c r="J9" s="170">
        <f>IFERROR(__xludf.DUMMYFUNCTION("""COMPUTED_VALUE"""),44951.0)</f>
        <v>44951</v>
      </c>
      <c r="K9" s="168" t="str">
        <f>IFERROR(__xludf.DUMMYFUNCTION("""COMPUTED_VALUE"""),"#N/A")</f>
        <v>#N/A</v>
      </c>
      <c r="L9" s="168" t="str">
        <f>IFERROR(__xludf.DUMMYFUNCTION("""COMPUTED_VALUE"""),"#N/A")</f>
        <v>#N/A</v>
      </c>
      <c r="M9" s="172">
        <f>IFERROR(__xludf.DUMMYFUNCTION("""COMPUTED_VALUE"""),200000.0)</f>
        <v>200000</v>
      </c>
      <c r="P9" s="168" t="str">
        <f>IFERROR(__xludf.DUMMYFUNCTION("""COMPUTED_VALUE"""),"НР/NN")</f>
        <v>НР/NN</v>
      </c>
      <c r="Q9" s="168" t="str">
        <f>IFERROR(__xludf.DUMMYFUNCTION("""COMPUTED_VALUE"""),"Нераспределеннный")</f>
        <v>Нераспределеннный</v>
      </c>
      <c r="S9" s="173" t="s">
        <v>48</v>
      </c>
    </row>
    <row r="10">
      <c r="A10" s="168" t="str">
        <f>IFERROR(__xludf.DUMMYFUNCTION("""COMPUTED_VALUE"""),"Домодедово_ГП-5")</f>
        <v>Домодедово_ГП-5</v>
      </c>
      <c r="B10" s="168" t="str">
        <f>IFERROR(__xludf.DUMMYFUNCTION("""COMPUTED_VALUE"""),"Домодедово")</f>
        <v>Домодедово</v>
      </c>
      <c r="C10" s="168" t="str">
        <f>IFERROR(__xludf.DUMMYFUNCTION("""COMPUTED_VALUE"""),"ГП-5")</f>
        <v>ГП-5</v>
      </c>
      <c r="D10" s="168" t="str">
        <f>IFERROR(__xludf.DUMMYFUNCTION("""COMPUTED_VALUE"""),"ГП")</f>
        <v>ГП</v>
      </c>
      <c r="E10" s="168">
        <f>IFERROR(__xludf.DUMMYFUNCTION("""COMPUTED_VALUE"""),5.0)</f>
        <v>5</v>
      </c>
      <c r="F10" s="168" t="str">
        <f>IFERROR(__xludf.DUMMYFUNCTION("""COMPUTED_VALUE"""),"🏠")</f>
        <v>🏠</v>
      </c>
      <c r="G10" s="170" t="str">
        <f>IFERROR(__xludf.DUMMYFUNCTION("""COMPUTED_VALUE"""),"Московская область")</f>
        <v>Московская область</v>
      </c>
      <c r="H10" s="168" t="str">
        <f>IFERROR(__xludf.DUMMYFUNCTION("""COMPUTED_VALUE"""),"Стандарт")</f>
        <v>Стандарт</v>
      </c>
      <c r="I10" s="168" t="str">
        <f>IFERROR(__xludf.DUMMYFUNCTION("""COMPUTED_VALUE"""),"Краснодар")</f>
        <v>Краснодар</v>
      </c>
      <c r="J10" s="170">
        <f>IFERROR(__xludf.DUMMYFUNCTION("""COMPUTED_VALUE"""),44951.0)</f>
        <v>44951</v>
      </c>
      <c r="K10" s="168" t="str">
        <f>IFERROR(__xludf.DUMMYFUNCTION("""COMPUTED_VALUE"""),"#N/A")</f>
        <v>#N/A</v>
      </c>
      <c r="L10" s="168" t="str">
        <f>IFERROR(__xludf.DUMMYFUNCTION("""COMPUTED_VALUE"""),"#N/A")</f>
        <v>#N/A</v>
      </c>
      <c r="M10" s="172">
        <f>IFERROR(__xludf.DUMMYFUNCTION("""COMPUTED_VALUE"""),200000.0)</f>
        <v>200000</v>
      </c>
      <c r="P10" s="168"/>
      <c r="Q10" s="168"/>
      <c r="S10" s="173" t="s">
        <v>49</v>
      </c>
    </row>
    <row r="11">
      <c r="A11" s="168" t="str">
        <f>IFERROR(__xludf.DUMMYFUNCTION("""COMPUTED_VALUE"""),"Домодедово_ГП-21")</f>
        <v>Домодедово_ГП-21</v>
      </c>
      <c r="B11" s="168" t="str">
        <f>IFERROR(__xludf.DUMMYFUNCTION("""COMPUTED_VALUE"""),"Домодедово")</f>
        <v>Домодедово</v>
      </c>
      <c r="C11" s="168" t="str">
        <f>IFERROR(__xludf.DUMMYFUNCTION("""COMPUTED_VALUE"""),"ГП-21")</f>
        <v>ГП-21</v>
      </c>
      <c r="D11" s="168" t="str">
        <f>IFERROR(__xludf.DUMMYFUNCTION("""COMPUTED_VALUE"""),"ГП")</f>
        <v>ГП</v>
      </c>
      <c r="E11" s="168">
        <f>IFERROR(__xludf.DUMMYFUNCTION("""COMPUTED_VALUE"""),21.0)</f>
        <v>21</v>
      </c>
      <c r="F11" s="168" t="str">
        <f>IFERROR(__xludf.DUMMYFUNCTION("""COMPUTED_VALUE"""),"🏠")</f>
        <v>🏠</v>
      </c>
      <c r="G11" s="168" t="str">
        <f>IFERROR(__xludf.DUMMYFUNCTION("""COMPUTED_VALUE"""),"Московская область")</f>
        <v>Московская область</v>
      </c>
      <c r="H11" s="168" t="str">
        <f>IFERROR(__xludf.DUMMYFUNCTION("""COMPUTED_VALUE"""),"Комфорт")</f>
        <v>Комфорт</v>
      </c>
      <c r="I11" s="168" t="str">
        <f>IFERROR(__xludf.DUMMYFUNCTION("""COMPUTED_VALUE"""),"НР/Текущие ")</f>
        <v>НР/Текущие </v>
      </c>
      <c r="J11" s="170">
        <f>IFERROR(__xludf.DUMMYFUNCTION("""COMPUTED_VALUE"""),45093.0)</f>
        <v>45093</v>
      </c>
      <c r="K11" s="168">
        <f>IFERROR(__xludf.DUMMYFUNCTION("""COMPUTED_VALUE"""),43064.0)</f>
        <v>43064</v>
      </c>
      <c r="L11" s="171" t="str">
        <f>IFERROR(__xludf.DUMMYFUNCTION("""COMPUTED_VALUE"""),"Новые")</f>
        <v>Новые</v>
      </c>
      <c r="M11" s="172">
        <f>IFERROR(__xludf.DUMMYFUNCTION("""COMPUTED_VALUE"""),200000.0)</f>
        <v>200000</v>
      </c>
      <c r="P11" s="168"/>
      <c r="Q11" s="168"/>
      <c r="S11" s="173" t="s">
        <v>61</v>
      </c>
    </row>
    <row r="12">
      <c r="A12" s="168" t="str">
        <f>IFERROR(__xludf.DUMMYFUNCTION("""COMPUTED_VALUE"""),"Домодедово_ГП-13")</f>
        <v>Домодедово_ГП-13</v>
      </c>
      <c r="B12" s="168" t="str">
        <f>IFERROR(__xludf.DUMMYFUNCTION("""COMPUTED_VALUE"""),"Домодедово")</f>
        <v>Домодедово</v>
      </c>
      <c r="C12" s="168" t="str">
        <f>IFERROR(__xludf.DUMMYFUNCTION("""COMPUTED_VALUE"""),"ГП-13")</f>
        <v>ГП-13</v>
      </c>
      <c r="D12" s="168" t="str">
        <f>IFERROR(__xludf.DUMMYFUNCTION("""COMPUTED_VALUE"""),"ГП")</f>
        <v>ГП</v>
      </c>
      <c r="E12" s="168">
        <f>IFERROR(__xludf.DUMMYFUNCTION("""COMPUTED_VALUE"""),13.0)</f>
        <v>13</v>
      </c>
      <c r="F12" s="168" t="str">
        <f>IFERROR(__xludf.DUMMYFUNCTION("""COMPUTED_VALUE"""),"🏠")</f>
        <v>🏠</v>
      </c>
      <c r="G12" s="168" t="str">
        <f>IFERROR(__xludf.DUMMYFUNCTION("""COMPUTED_VALUE"""),"Московская область")</f>
        <v>Московская область</v>
      </c>
      <c r="H12" s="168" t="str">
        <f>IFERROR(__xludf.DUMMYFUNCTION("""COMPUTED_VALUE"""),"Комфорт")</f>
        <v>Комфорт</v>
      </c>
      <c r="I12" s="168" t="str">
        <f>IFERROR(__xludf.DUMMYFUNCTION("""COMPUTED_VALUE"""),"НР/Текущие ")</f>
        <v>НР/Текущие </v>
      </c>
      <c r="J12" s="170">
        <f>IFERROR(__xludf.DUMMYFUNCTION("""COMPUTED_VALUE"""),45093.0)</f>
        <v>45093</v>
      </c>
      <c r="K12" s="168">
        <f>IFERROR(__xludf.DUMMYFUNCTION("""COMPUTED_VALUE"""),45094.0)</f>
        <v>45094</v>
      </c>
      <c r="L12" s="171" t="str">
        <f>IFERROR(__xludf.DUMMYFUNCTION("""COMPUTED_VALUE"""),"Новые")</f>
        <v>Новые</v>
      </c>
      <c r="M12" s="172">
        <f>IFERROR(__xludf.DUMMYFUNCTION("""COMPUTED_VALUE"""),200000.0)</f>
        <v>200000</v>
      </c>
      <c r="P12" s="168"/>
      <c r="Q12" s="168"/>
      <c r="S12" s="173" t="s">
        <v>63</v>
      </c>
    </row>
    <row r="13">
      <c r="A13" s="168" t="str">
        <f>IFERROR(__xludf.DUMMYFUNCTION("""COMPUTED_VALUE"""),"Домодедово_ГП-15")</f>
        <v>Домодедово_ГП-15</v>
      </c>
      <c r="B13" s="168" t="str">
        <f>IFERROR(__xludf.DUMMYFUNCTION("""COMPUTED_VALUE"""),"Домодедово")</f>
        <v>Домодедово</v>
      </c>
      <c r="C13" s="168" t="str">
        <f>IFERROR(__xludf.DUMMYFUNCTION("""COMPUTED_VALUE"""),"ГП-15")</f>
        <v>ГП-15</v>
      </c>
      <c r="D13" s="168" t="str">
        <f>IFERROR(__xludf.DUMMYFUNCTION("""COMPUTED_VALUE"""),"ГП")</f>
        <v>ГП</v>
      </c>
      <c r="E13" s="168">
        <f>IFERROR(__xludf.DUMMYFUNCTION("""COMPUTED_VALUE"""),15.0)</f>
        <v>15</v>
      </c>
      <c r="F13" s="168" t="str">
        <f>IFERROR(__xludf.DUMMYFUNCTION("""COMPUTED_VALUE"""),"🏠")</f>
        <v>🏠</v>
      </c>
      <c r="G13" s="168" t="str">
        <f>IFERROR(__xludf.DUMMYFUNCTION("""COMPUTED_VALUE"""),"Московская область")</f>
        <v>Московская область</v>
      </c>
      <c r="H13" s="168" t="str">
        <f>IFERROR(__xludf.DUMMYFUNCTION("""COMPUTED_VALUE"""),"Комфорт")</f>
        <v>Комфорт</v>
      </c>
      <c r="I13" s="168" t="str">
        <f>IFERROR(__xludf.DUMMYFUNCTION("""COMPUTED_VALUE"""),"НР/Текущие ")</f>
        <v>НР/Текущие </v>
      </c>
      <c r="J13" s="170">
        <f>IFERROR(__xludf.DUMMYFUNCTION("""COMPUTED_VALUE"""),45093.0)</f>
        <v>45093</v>
      </c>
      <c r="K13" s="168">
        <f>IFERROR(__xludf.DUMMYFUNCTION("""COMPUTED_VALUE"""),18730.0)</f>
        <v>18730</v>
      </c>
      <c r="L13" s="171" t="str">
        <f>IFERROR(__xludf.DUMMYFUNCTION("""COMPUTED_VALUE"""),"Новые")</f>
        <v>Новые</v>
      </c>
      <c r="M13" s="172">
        <f>IFERROR(__xludf.DUMMYFUNCTION("""COMPUTED_VALUE"""),200000.0)</f>
        <v>200000</v>
      </c>
      <c r="P13" s="168"/>
      <c r="Q13" s="168"/>
      <c r="S13" s="173" t="s">
        <v>237</v>
      </c>
    </row>
    <row r="14">
      <c r="A14" s="168" t="str">
        <f>IFERROR(__xludf.DUMMYFUNCTION("""COMPUTED_VALUE"""),"Домодедово_ГП-16")</f>
        <v>Домодедово_ГП-16</v>
      </c>
      <c r="B14" s="168" t="str">
        <f>IFERROR(__xludf.DUMMYFUNCTION("""COMPUTED_VALUE"""),"Домодедово")</f>
        <v>Домодедово</v>
      </c>
      <c r="C14" s="168" t="str">
        <f>IFERROR(__xludf.DUMMYFUNCTION("""COMPUTED_VALUE"""),"ГП-16")</f>
        <v>ГП-16</v>
      </c>
      <c r="D14" s="168" t="str">
        <f>IFERROR(__xludf.DUMMYFUNCTION("""COMPUTED_VALUE"""),"ГП")</f>
        <v>ГП</v>
      </c>
      <c r="E14" s="168">
        <f>IFERROR(__xludf.DUMMYFUNCTION("""COMPUTED_VALUE"""),16.0)</f>
        <v>16</v>
      </c>
      <c r="F14" s="168" t="str">
        <f>IFERROR(__xludf.DUMMYFUNCTION("""COMPUTED_VALUE"""),"🏠")</f>
        <v>🏠</v>
      </c>
      <c r="G14" s="168" t="str">
        <f>IFERROR(__xludf.DUMMYFUNCTION("""COMPUTED_VALUE"""),"Московская область")</f>
        <v>Московская область</v>
      </c>
      <c r="H14" s="168" t="str">
        <f>IFERROR(__xludf.DUMMYFUNCTION("""COMPUTED_VALUE"""),"Комфорт")</f>
        <v>Комфорт</v>
      </c>
      <c r="I14" s="168" t="str">
        <f>IFERROR(__xludf.DUMMYFUNCTION("""COMPUTED_VALUE"""),"НР/Текущие ")</f>
        <v>НР/Текущие </v>
      </c>
      <c r="J14" s="170">
        <f>IFERROR(__xludf.DUMMYFUNCTION("""COMPUTED_VALUE"""),45093.0)</f>
        <v>45093</v>
      </c>
      <c r="K14" s="168">
        <f>IFERROR(__xludf.DUMMYFUNCTION("""COMPUTED_VALUE"""),21520.0)</f>
        <v>21520</v>
      </c>
      <c r="L14" s="171" t="str">
        <f>IFERROR(__xludf.DUMMYFUNCTION("""COMPUTED_VALUE"""),"Новые")</f>
        <v>Новые</v>
      </c>
      <c r="M14" s="172">
        <f>IFERROR(__xludf.DUMMYFUNCTION("""COMPUTED_VALUE"""),200000.0)</f>
        <v>200000</v>
      </c>
      <c r="P14" s="168"/>
      <c r="Q14" s="168"/>
      <c r="S14" s="173" t="s">
        <v>59</v>
      </c>
    </row>
    <row r="15">
      <c r="A15" s="168" t="str">
        <f>IFERROR(__xludf.DUMMYFUNCTION("""COMPUTED_VALUE"""),"Домодедово_ГП-18")</f>
        <v>Домодедово_ГП-18</v>
      </c>
      <c r="B15" s="168" t="str">
        <f>IFERROR(__xludf.DUMMYFUNCTION("""COMPUTED_VALUE"""),"Домодедово")</f>
        <v>Домодедово</v>
      </c>
      <c r="C15" s="168" t="str">
        <f>IFERROR(__xludf.DUMMYFUNCTION("""COMPUTED_VALUE"""),"ГП-18")</f>
        <v>ГП-18</v>
      </c>
      <c r="D15" s="168" t="str">
        <f>IFERROR(__xludf.DUMMYFUNCTION("""COMPUTED_VALUE"""),"ГП")</f>
        <v>ГП</v>
      </c>
      <c r="E15" s="168">
        <f>IFERROR(__xludf.DUMMYFUNCTION("""COMPUTED_VALUE"""),18.0)</f>
        <v>18</v>
      </c>
      <c r="F15" s="168" t="str">
        <f>IFERROR(__xludf.DUMMYFUNCTION("""COMPUTED_VALUE"""),"🏠")</f>
        <v>🏠</v>
      </c>
      <c r="G15" s="168" t="str">
        <f>IFERROR(__xludf.DUMMYFUNCTION("""COMPUTED_VALUE"""),"Московская область")</f>
        <v>Московская область</v>
      </c>
      <c r="H15" s="168" t="str">
        <f>IFERROR(__xludf.DUMMYFUNCTION("""COMPUTED_VALUE"""),"Комфорт")</f>
        <v>Комфорт</v>
      </c>
      <c r="I15" s="168" t="str">
        <f>IFERROR(__xludf.DUMMYFUNCTION("""COMPUTED_VALUE"""),"НР/Текущие ")</f>
        <v>НР/Текущие </v>
      </c>
      <c r="J15" s="170">
        <f>IFERROR(__xludf.DUMMYFUNCTION("""COMPUTED_VALUE"""),45093.0)</f>
        <v>45093</v>
      </c>
      <c r="K15" s="168">
        <f>IFERROR(__xludf.DUMMYFUNCTION("""COMPUTED_VALUE"""),9680.0)</f>
        <v>9680</v>
      </c>
      <c r="L15" s="171" t="str">
        <f>IFERROR(__xludf.DUMMYFUNCTION("""COMPUTED_VALUE"""),"Новые")</f>
        <v>Новые</v>
      </c>
      <c r="M15" s="172">
        <f>IFERROR(__xludf.DUMMYFUNCTION("""COMPUTED_VALUE"""),200000.0)</f>
        <v>200000</v>
      </c>
      <c r="P15" s="168"/>
      <c r="Q15" s="168"/>
    </row>
    <row r="16">
      <c r="A16" s="168" t="str">
        <f>IFERROR(__xludf.DUMMYFUNCTION("""COMPUTED_VALUE"""),"Домодедово_ГП-19")</f>
        <v>Домодедово_ГП-19</v>
      </c>
      <c r="B16" s="168" t="str">
        <f>IFERROR(__xludf.DUMMYFUNCTION("""COMPUTED_VALUE"""),"Домодедово")</f>
        <v>Домодедово</v>
      </c>
      <c r="C16" s="168" t="str">
        <f>IFERROR(__xludf.DUMMYFUNCTION("""COMPUTED_VALUE"""),"ГП-19")</f>
        <v>ГП-19</v>
      </c>
      <c r="D16" s="168" t="str">
        <f>IFERROR(__xludf.DUMMYFUNCTION("""COMPUTED_VALUE"""),"ГП")</f>
        <v>ГП</v>
      </c>
      <c r="E16" s="168">
        <f>IFERROR(__xludf.DUMMYFUNCTION("""COMPUTED_VALUE"""),19.0)</f>
        <v>19</v>
      </c>
      <c r="F16" s="168" t="str">
        <f>IFERROR(__xludf.DUMMYFUNCTION("""COMPUTED_VALUE"""),"🏠")</f>
        <v>🏠</v>
      </c>
      <c r="G16" s="168" t="str">
        <f>IFERROR(__xludf.DUMMYFUNCTION("""COMPUTED_VALUE"""),"Московская область")</f>
        <v>Московская область</v>
      </c>
      <c r="H16" s="168" t="str">
        <f>IFERROR(__xludf.DUMMYFUNCTION("""COMPUTED_VALUE"""),"Комфорт")</f>
        <v>Комфорт</v>
      </c>
      <c r="I16" s="168" t="str">
        <f>IFERROR(__xludf.DUMMYFUNCTION("""COMPUTED_VALUE"""),"НР/Текущие ")</f>
        <v>НР/Текущие </v>
      </c>
      <c r="J16" s="170">
        <f>IFERROR(__xludf.DUMMYFUNCTION("""COMPUTED_VALUE"""),45093.0)</f>
        <v>45093</v>
      </c>
      <c r="K16" s="168">
        <f>IFERROR(__xludf.DUMMYFUNCTION("""COMPUTED_VALUE"""),16000.0)</f>
        <v>16000</v>
      </c>
      <c r="L16" s="171" t="str">
        <f>IFERROR(__xludf.DUMMYFUNCTION("""COMPUTED_VALUE"""),"Новые")</f>
        <v>Новые</v>
      </c>
      <c r="M16" s="172">
        <f>IFERROR(__xludf.DUMMYFUNCTION("""COMPUTED_VALUE"""),200000.0)</f>
        <v>200000</v>
      </c>
      <c r="P16" s="168"/>
      <c r="Q16" s="168"/>
    </row>
    <row r="17">
      <c r="A17" s="168" t="str">
        <f>IFERROR(__xludf.DUMMYFUNCTION("""COMPUTED_VALUE"""),"Домодедово_ГП-20")</f>
        <v>Домодедово_ГП-20</v>
      </c>
      <c r="B17" s="168" t="str">
        <f>IFERROR(__xludf.DUMMYFUNCTION("""COMPUTED_VALUE"""),"Домодедово")</f>
        <v>Домодедово</v>
      </c>
      <c r="C17" s="168" t="str">
        <f>IFERROR(__xludf.DUMMYFUNCTION("""COMPUTED_VALUE"""),"ГП-20")</f>
        <v>ГП-20</v>
      </c>
      <c r="D17" s="168" t="str">
        <f>IFERROR(__xludf.DUMMYFUNCTION("""COMPUTED_VALUE"""),"ГП")</f>
        <v>ГП</v>
      </c>
      <c r="E17" s="168">
        <f>IFERROR(__xludf.DUMMYFUNCTION("""COMPUTED_VALUE"""),20.0)</f>
        <v>20</v>
      </c>
      <c r="F17" s="168" t="str">
        <f>IFERROR(__xludf.DUMMYFUNCTION("""COMPUTED_VALUE"""),"🏠")</f>
        <v>🏠</v>
      </c>
      <c r="G17" s="168" t="str">
        <f>IFERROR(__xludf.DUMMYFUNCTION("""COMPUTED_VALUE"""),"Московская область")</f>
        <v>Московская область</v>
      </c>
      <c r="H17" s="168" t="str">
        <f>IFERROR(__xludf.DUMMYFUNCTION("""COMPUTED_VALUE"""),"Комфорт")</f>
        <v>Комфорт</v>
      </c>
      <c r="I17" s="168" t="str">
        <f>IFERROR(__xludf.DUMMYFUNCTION("""COMPUTED_VALUE"""),"НР/Текущие ")</f>
        <v>НР/Текущие </v>
      </c>
      <c r="J17" s="170">
        <f>IFERROR(__xludf.DUMMYFUNCTION("""COMPUTED_VALUE"""),45093.0)</f>
        <v>45093</v>
      </c>
      <c r="K17" s="168">
        <f>IFERROR(__xludf.DUMMYFUNCTION("""COMPUTED_VALUE"""),23150.0)</f>
        <v>23150</v>
      </c>
      <c r="L17" s="171" t="str">
        <f>IFERROR(__xludf.DUMMYFUNCTION("""COMPUTED_VALUE"""),"Новые")</f>
        <v>Новые</v>
      </c>
      <c r="M17" s="172">
        <f>IFERROR(__xludf.DUMMYFUNCTION("""COMPUTED_VALUE"""),200000.0)</f>
        <v>200000</v>
      </c>
      <c r="P17" s="168"/>
      <c r="Q17" s="168"/>
    </row>
    <row r="18">
      <c r="A18" s="168" t="str">
        <f>IFERROR(__xludf.DUMMYFUNCTION("""COMPUTED_VALUE"""),"Домодедово_ГП-24")</f>
        <v>Домодедово_ГП-24</v>
      </c>
      <c r="B18" s="168" t="str">
        <f>IFERROR(__xludf.DUMMYFUNCTION("""COMPUTED_VALUE"""),"Домодедово")</f>
        <v>Домодедово</v>
      </c>
      <c r="C18" s="168" t="str">
        <f>IFERROR(__xludf.DUMMYFUNCTION("""COMPUTED_VALUE"""),"ГП-24")</f>
        <v>ГП-24</v>
      </c>
      <c r="D18" s="168" t="str">
        <f>IFERROR(__xludf.DUMMYFUNCTION("""COMPUTED_VALUE"""),"ГП")</f>
        <v>ГП</v>
      </c>
      <c r="E18" s="168">
        <f>IFERROR(__xludf.DUMMYFUNCTION("""COMPUTED_VALUE"""),24.0)</f>
        <v>24</v>
      </c>
      <c r="F18" s="168" t="str">
        <f>IFERROR(__xludf.DUMMYFUNCTION("""COMPUTED_VALUE"""),"🏠")</f>
        <v>🏠</v>
      </c>
      <c r="G18" s="168" t="str">
        <f>IFERROR(__xludf.DUMMYFUNCTION("""COMPUTED_VALUE"""),"Московская область")</f>
        <v>Московская область</v>
      </c>
      <c r="H18" s="168" t="str">
        <f>IFERROR(__xludf.DUMMYFUNCTION("""COMPUTED_VALUE"""),"Комфорт")</f>
        <v>Комфорт</v>
      </c>
      <c r="I18" s="168" t="str">
        <f>IFERROR(__xludf.DUMMYFUNCTION("""COMPUTED_VALUE"""),"НР/Текущие ")</f>
        <v>НР/Текущие </v>
      </c>
      <c r="J18" s="170">
        <f>IFERROR(__xludf.DUMMYFUNCTION("""COMPUTED_VALUE"""),45093.0)</f>
        <v>45093</v>
      </c>
      <c r="K18" s="168">
        <f>IFERROR(__xludf.DUMMYFUNCTION("""COMPUTED_VALUE"""),21490.0)</f>
        <v>21490</v>
      </c>
      <c r="L18" s="171" t="str">
        <f>IFERROR(__xludf.DUMMYFUNCTION("""COMPUTED_VALUE"""),"Новые")</f>
        <v>Новые</v>
      </c>
      <c r="M18" s="172">
        <f>IFERROR(__xludf.DUMMYFUNCTION("""COMPUTED_VALUE"""),200000.0)</f>
        <v>200000</v>
      </c>
      <c r="P18" s="168"/>
      <c r="Q18" s="168"/>
    </row>
    <row r="19">
      <c r="A19" s="168" t="str">
        <f>IFERROR(__xludf.DUMMYFUNCTION("""COMPUTED_VALUE"""),"Домодедово_ГП-25")</f>
        <v>Домодедово_ГП-25</v>
      </c>
      <c r="B19" s="168" t="str">
        <f>IFERROR(__xludf.DUMMYFUNCTION("""COMPUTED_VALUE"""),"Домодедово")</f>
        <v>Домодедово</v>
      </c>
      <c r="C19" s="168" t="str">
        <f>IFERROR(__xludf.DUMMYFUNCTION("""COMPUTED_VALUE"""),"ГП-25")</f>
        <v>ГП-25</v>
      </c>
      <c r="D19" s="168" t="str">
        <f>IFERROR(__xludf.DUMMYFUNCTION("""COMPUTED_VALUE"""),"ГП")</f>
        <v>ГП</v>
      </c>
      <c r="E19" s="168">
        <f>IFERROR(__xludf.DUMMYFUNCTION("""COMPUTED_VALUE"""),25.0)</f>
        <v>25</v>
      </c>
      <c r="F19" s="168" t="str">
        <f>IFERROR(__xludf.DUMMYFUNCTION("""COMPUTED_VALUE"""),"🏠")</f>
        <v>🏠</v>
      </c>
      <c r="G19" s="168" t="str">
        <f>IFERROR(__xludf.DUMMYFUNCTION("""COMPUTED_VALUE"""),"Московская область")</f>
        <v>Московская область</v>
      </c>
      <c r="H19" s="168" t="str">
        <f>IFERROR(__xludf.DUMMYFUNCTION("""COMPUTED_VALUE"""),"Комфорт")</f>
        <v>Комфорт</v>
      </c>
      <c r="I19" s="168" t="str">
        <f>IFERROR(__xludf.DUMMYFUNCTION("""COMPUTED_VALUE"""),"НР/Текущие ")</f>
        <v>НР/Текущие </v>
      </c>
      <c r="J19" s="170">
        <f>IFERROR(__xludf.DUMMYFUNCTION("""COMPUTED_VALUE"""),45093.0)</f>
        <v>45093</v>
      </c>
      <c r="K19" s="168">
        <f>IFERROR(__xludf.DUMMYFUNCTION("""COMPUTED_VALUE"""),21460.0)</f>
        <v>21460</v>
      </c>
      <c r="L19" s="171" t="str">
        <f>IFERROR(__xludf.DUMMYFUNCTION("""COMPUTED_VALUE"""),"Новые")</f>
        <v>Новые</v>
      </c>
      <c r="M19" s="172">
        <f>IFERROR(__xludf.DUMMYFUNCTION("""COMPUTED_VALUE"""),200000.0)</f>
        <v>200000</v>
      </c>
      <c r="P19" s="168"/>
      <c r="Q19" s="168"/>
    </row>
    <row r="20">
      <c r="A20" s="168" t="str">
        <f>IFERROR(__xludf.DUMMYFUNCTION("""COMPUTED_VALUE"""),"Домодедово_ГП-10")</f>
        <v>Домодедово_ГП-10</v>
      </c>
      <c r="B20" s="168" t="str">
        <f>IFERROR(__xludf.DUMMYFUNCTION("""COMPUTED_VALUE"""),"Домодедово")</f>
        <v>Домодедово</v>
      </c>
      <c r="C20" s="168" t="str">
        <f>IFERROR(__xludf.DUMMYFUNCTION("""COMPUTED_VALUE"""),"ГП-10")</f>
        <v>ГП-10</v>
      </c>
      <c r="D20" s="168" t="str">
        <f>IFERROR(__xludf.DUMMYFUNCTION("""COMPUTED_VALUE"""),"ГП")</f>
        <v>ГП</v>
      </c>
      <c r="E20" s="168">
        <f>IFERROR(__xludf.DUMMYFUNCTION("""COMPUTED_VALUE"""),10.0)</f>
        <v>10</v>
      </c>
      <c r="F20" s="168" t="str">
        <f>IFERROR(__xludf.DUMMYFUNCTION("""COMPUTED_VALUE"""),"🏠")</f>
        <v>🏠</v>
      </c>
      <c r="G20" s="168" t="str">
        <f>IFERROR(__xludf.DUMMYFUNCTION("""COMPUTED_VALUE"""),"Московская область")</f>
        <v>Московская область</v>
      </c>
      <c r="H20" s="168" t="str">
        <f>IFERROR(__xludf.DUMMYFUNCTION("""COMPUTED_VALUE"""),"Комфорт")</f>
        <v>Комфорт</v>
      </c>
      <c r="I20" s="168" t="str">
        <f>IFERROR(__xludf.DUMMYFUNCTION("""COMPUTED_VALUE"""),"НР/Текущие ")</f>
        <v>НР/Текущие </v>
      </c>
      <c r="J20" s="170">
        <f>IFERROR(__xludf.DUMMYFUNCTION("""COMPUTED_VALUE"""),45093.0)</f>
        <v>45093</v>
      </c>
      <c r="K20" s="168">
        <f>IFERROR(__xludf.DUMMYFUNCTION("""COMPUTED_VALUE"""),20570.0)</f>
        <v>20570</v>
      </c>
      <c r="L20" s="171" t="str">
        <f>IFERROR(__xludf.DUMMYFUNCTION("""COMPUTED_VALUE"""),"Новые")</f>
        <v>Новые</v>
      </c>
      <c r="M20" s="172">
        <f>IFERROR(__xludf.DUMMYFUNCTION("""COMPUTED_VALUE"""),200000.0)</f>
        <v>200000</v>
      </c>
      <c r="P20" s="168"/>
      <c r="Q20" s="168"/>
    </row>
    <row r="21">
      <c r="A21" s="168" t="str">
        <f>IFERROR(__xludf.DUMMYFUNCTION("""COMPUTED_VALUE"""),"Домодедово_ГП-11")</f>
        <v>Домодедово_ГП-11</v>
      </c>
      <c r="B21" s="168" t="str">
        <f>IFERROR(__xludf.DUMMYFUNCTION("""COMPUTED_VALUE"""),"Домодедово")</f>
        <v>Домодедово</v>
      </c>
      <c r="C21" s="168" t="str">
        <f>IFERROR(__xludf.DUMMYFUNCTION("""COMPUTED_VALUE"""),"ГП-11")</f>
        <v>ГП-11</v>
      </c>
      <c r="D21" s="168" t="str">
        <f>IFERROR(__xludf.DUMMYFUNCTION("""COMPUTED_VALUE"""),"ГП")</f>
        <v>ГП</v>
      </c>
      <c r="E21" s="168">
        <f>IFERROR(__xludf.DUMMYFUNCTION("""COMPUTED_VALUE"""),11.0)</f>
        <v>11</v>
      </c>
      <c r="F21" s="168" t="str">
        <f>IFERROR(__xludf.DUMMYFUNCTION("""COMPUTED_VALUE"""),"🏠")</f>
        <v>🏠</v>
      </c>
      <c r="G21" s="168" t="str">
        <f>IFERROR(__xludf.DUMMYFUNCTION("""COMPUTED_VALUE"""),"Московская область")</f>
        <v>Московская область</v>
      </c>
      <c r="H21" s="168" t="str">
        <f>IFERROR(__xludf.DUMMYFUNCTION("""COMPUTED_VALUE"""),"Комфорт")</f>
        <v>Комфорт</v>
      </c>
      <c r="I21" s="168" t="str">
        <f>IFERROR(__xludf.DUMMYFUNCTION("""COMPUTED_VALUE"""),"НР/Текущие ")</f>
        <v>НР/Текущие </v>
      </c>
      <c r="J21" s="170">
        <f>IFERROR(__xludf.DUMMYFUNCTION("""COMPUTED_VALUE"""),45093.0)</f>
        <v>45093</v>
      </c>
      <c r="K21" s="168">
        <f>IFERROR(__xludf.DUMMYFUNCTION("""COMPUTED_VALUE"""),38580.0)</f>
        <v>38580</v>
      </c>
      <c r="L21" s="171" t="str">
        <f>IFERROR(__xludf.DUMMYFUNCTION("""COMPUTED_VALUE"""),"Новые")</f>
        <v>Новые</v>
      </c>
      <c r="M21" s="172">
        <f>IFERROR(__xludf.DUMMYFUNCTION("""COMPUTED_VALUE"""),200000.0)</f>
        <v>200000</v>
      </c>
      <c r="P21" s="168"/>
      <c r="Q21" s="168"/>
    </row>
    <row r="22">
      <c r="A22" s="168" t="str">
        <f>IFERROR(__xludf.DUMMYFUNCTION("""COMPUTED_VALUE"""),"Домодедово_ГП-12")</f>
        <v>Домодедово_ГП-12</v>
      </c>
      <c r="B22" s="168" t="str">
        <f>IFERROR(__xludf.DUMMYFUNCTION("""COMPUTED_VALUE"""),"Домодедово")</f>
        <v>Домодедово</v>
      </c>
      <c r="C22" s="168" t="str">
        <f>IFERROR(__xludf.DUMMYFUNCTION("""COMPUTED_VALUE"""),"ГП-12")</f>
        <v>ГП-12</v>
      </c>
      <c r="D22" s="168" t="str">
        <f>IFERROR(__xludf.DUMMYFUNCTION("""COMPUTED_VALUE"""),"ГП")</f>
        <v>ГП</v>
      </c>
      <c r="E22" s="168">
        <f>IFERROR(__xludf.DUMMYFUNCTION("""COMPUTED_VALUE"""),12.0)</f>
        <v>12</v>
      </c>
      <c r="F22" s="168" t="str">
        <f>IFERROR(__xludf.DUMMYFUNCTION("""COMPUTED_VALUE"""),"🏠")</f>
        <v>🏠</v>
      </c>
      <c r="G22" s="168" t="str">
        <f>IFERROR(__xludf.DUMMYFUNCTION("""COMPUTED_VALUE"""),"Московская область")</f>
        <v>Московская область</v>
      </c>
      <c r="H22" s="168" t="str">
        <f>IFERROR(__xludf.DUMMYFUNCTION("""COMPUTED_VALUE"""),"Комфорт")</f>
        <v>Комфорт</v>
      </c>
      <c r="I22" s="168" t="str">
        <f>IFERROR(__xludf.DUMMYFUNCTION("""COMPUTED_VALUE"""),"НР/Текущие ")</f>
        <v>НР/Текущие </v>
      </c>
      <c r="J22" s="170">
        <f>IFERROR(__xludf.DUMMYFUNCTION("""COMPUTED_VALUE"""),45093.0)</f>
        <v>45093</v>
      </c>
      <c r="K22" s="168">
        <f>IFERROR(__xludf.DUMMYFUNCTION("""COMPUTED_VALUE"""),30860.0)</f>
        <v>30860</v>
      </c>
      <c r="L22" s="171" t="str">
        <f>IFERROR(__xludf.DUMMYFUNCTION("""COMPUTED_VALUE"""),"Новые")</f>
        <v>Новые</v>
      </c>
      <c r="M22" s="172">
        <f>IFERROR(__xludf.DUMMYFUNCTION("""COMPUTED_VALUE"""),200000.0)</f>
        <v>200000</v>
      </c>
      <c r="P22" s="168"/>
      <c r="Q22" s="168"/>
    </row>
    <row r="23">
      <c r="A23" s="168" t="str">
        <f>IFERROR(__xludf.DUMMYFUNCTION("""COMPUTED_VALUE"""),"Домодедово_ГП-17")</f>
        <v>Домодедово_ГП-17</v>
      </c>
      <c r="B23" s="168" t="str">
        <f>IFERROR(__xludf.DUMMYFUNCTION("""COMPUTED_VALUE"""),"Домодедово")</f>
        <v>Домодедово</v>
      </c>
      <c r="C23" s="168" t="str">
        <f>IFERROR(__xludf.DUMMYFUNCTION("""COMPUTED_VALUE"""),"ГП-17")</f>
        <v>ГП-17</v>
      </c>
      <c r="D23" s="168" t="str">
        <f>IFERROR(__xludf.DUMMYFUNCTION("""COMPUTED_VALUE"""),"ГП")</f>
        <v>ГП</v>
      </c>
      <c r="E23" s="168">
        <f>IFERROR(__xludf.DUMMYFUNCTION("""COMPUTED_VALUE"""),17.0)</f>
        <v>17</v>
      </c>
      <c r="F23" s="168" t="str">
        <f>IFERROR(__xludf.DUMMYFUNCTION("""COMPUTED_VALUE"""),"🏠")</f>
        <v>🏠</v>
      </c>
      <c r="G23" s="168" t="str">
        <f>IFERROR(__xludf.DUMMYFUNCTION("""COMPUTED_VALUE"""),"Московская область")</f>
        <v>Московская область</v>
      </c>
      <c r="H23" s="168" t="str">
        <f>IFERROR(__xludf.DUMMYFUNCTION("""COMPUTED_VALUE"""),"Комфорт")</f>
        <v>Комфорт</v>
      </c>
      <c r="I23" s="168" t="str">
        <f>IFERROR(__xludf.DUMMYFUNCTION("""COMPUTED_VALUE"""),"НР/Текущие ")</f>
        <v>НР/Текущие </v>
      </c>
      <c r="J23" s="170">
        <f>IFERROR(__xludf.DUMMYFUNCTION("""COMPUTED_VALUE"""),45093.0)</f>
        <v>45093</v>
      </c>
      <c r="K23" s="168">
        <f>IFERROR(__xludf.DUMMYFUNCTION("""COMPUTED_VALUE"""),12780.0)</f>
        <v>12780</v>
      </c>
      <c r="L23" s="171" t="str">
        <f>IFERROR(__xludf.DUMMYFUNCTION("""COMPUTED_VALUE"""),"Новые")</f>
        <v>Новые</v>
      </c>
      <c r="M23" s="172">
        <f>IFERROR(__xludf.DUMMYFUNCTION("""COMPUTED_VALUE"""),200000.0)</f>
        <v>200000</v>
      </c>
      <c r="P23" s="168"/>
      <c r="Q23" s="168"/>
    </row>
    <row r="24">
      <c r="A24" s="168" t="str">
        <f>IFERROR(__xludf.DUMMYFUNCTION("""COMPUTED_VALUE"""),"Домодедово_ГП-22")</f>
        <v>Домодедово_ГП-22</v>
      </c>
      <c r="B24" s="168" t="str">
        <f>IFERROR(__xludf.DUMMYFUNCTION("""COMPUTED_VALUE"""),"Домодедово")</f>
        <v>Домодедово</v>
      </c>
      <c r="C24" s="168" t="str">
        <f>IFERROR(__xludf.DUMMYFUNCTION("""COMPUTED_VALUE"""),"ГП-22")</f>
        <v>ГП-22</v>
      </c>
      <c r="D24" s="168" t="str">
        <f>IFERROR(__xludf.DUMMYFUNCTION("""COMPUTED_VALUE"""),"ГП")</f>
        <v>ГП</v>
      </c>
      <c r="E24" s="168">
        <f>IFERROR(__xludf.DUMMYFUNCTION("""COMPUTED_VALUE"""),22.0)</f>
        <v>22</v>
      </c>
      <c r="F24" s="168" t="str">
        <f>IFERROR(__xludf.DUMMYFUNCTION("""COMPUTED_VALUE"""),"🏠")</f>
        <v>🏠</v>
      </c>
      <c r="G24" s="168" t="str">
        <f>IFERROR(__xludf.DUMMYFUNCTION("""COMPUTED_VALUE"""),"Московская область")</f>
        <v>Московская область</v>
      </c>
      <c r="H24" s="168" t="str">
        <f>IFERROR(__xludf.DUMMYFUNCTION("""COMPUTED_VALUE"""),"Комфорт")</f>
        <v>Комфорт</v>
      </c>
      <c r="I24" s="168" t="str">
        <f>IFERROR(__xludf.DUMMYFUNCTION("""COMPUTED_VALUE"""),"НР/Текущие ")</f>
        <v>НР/Текущие </v>
      </c>
      <c r="J24" s="170">
        <f>IFERROR(__xludf.DUMMYFUNCTION("""COMPUTED_VALUE"""),45093.0)</f>
        <v>45093</v>
      </c>
      <c r="K24" s="168">
        <f>IFERROR(__xludf.DUMMYFUNCTION("""COMPUTED_VALUE"""),53181.75)</f>
        <v>53181.75</v>
      </c>
      <c r="L24" s="171" t="str">
        <f>IFERROR(__xludf.DUMMYFUNCTION("""COMPUTED_VALUE"""),"Новые")</f>
        <v>Новые</v>
      </c>
      <c r="M24" s="172">
        <f>IFERROR(__xludf.DUMMYFUNCTION("""COMPUTED_VALUE"""),200000.0)</f>
        <v>200000</v>
      </c>
      <c r="P24" s="168"/>
      <c r="Q24" s="168"/>
    </row>
    <row r="25">
      <c r="A25" s="168" t="str">
        <f>IFERROR(__xludf.DUMMYFUNCTION("""COMPUTED_VALUE"""),"Домодедово_ГП-26")</f>
        <v>Домодедово_ГП-26</v>
      </c>
      <c r="B25" s="168" t="str">
        <f>IFERROR(__xludf.DUMMYFUNCTION("""COMPUTED_VALUE"""),"Домодедово")</f>
        <v>Домодедово</v>
      </c>
      <c r="C25" s="168" t="str">
        <f>IFERROR(__xludf.DUMMYFUNCTION("""COMPUTED_VALUE"""),"ГП-26")</f>
        <v>ГП-26</v>
      </c>
      <c r="D25" s="168" t="str">
        <f>IFERROR(__xludf.DUMMYFUNCTION("""COMPUTED_VALUE"""),"ГП")</f>
        <v>ГП</v>
      </c>
      <c r="E25" s="168">
        <f>IFERROR(__xludf.DUMMYFUNCTION("""COMPUTED_VALUE"""),26.0)</f>
        <v>26</v>
      </c>
      <c r="F25" s="168" t="str">
        <f>IFERROR(__xludf.DUMMYFUNCTION("""COMPUTED_VALUE"""),"🏠")</f>
        <v>🏠</v>
      </c>
      <c r="G25" s="168" t="str">
        <f>IFERROR(__xludf.DUMMYFUNCTION("""COMPUTED_VALUE"""),"Московская область")</f>
        <v>Московская область</v>
      </c>
      <c r="H25" s="168" t="str">
        <f>IFERROR(__xludf.DUMMYFUNCTION("""COMPUTED_VALUE"""),"Комфорт")</f>
        <v>Комфорт</v>
      </c>
      <c r="I25" s="168" t="str">
        <f>IFERROR(__xludf.DUMMYFUNCTION("""COMPUTED_VALUE"""),"НР/Текущие ")</f>
        <v>НР/Текущие </v>
      </c>
      <c r="J25" s="170">
        <f>IFERROR(__xludf.DUMMYFUNCTION("""COMPUTED_VALUE"""),45093.0)</f>
        <v>45093</v>
      </c>
      <c r="K25" s="168"/>
      <c r="L25" s="171" t="str">
        <f>IFERROR(__xludf.DUMMYFUNCTION("""COMPUTED_VALUE"""),"Новые")</f>
        <v>Новые</v>
      </c>
      <c r="M25" s="172">
        <f>IFERROR(__xludf.DUMMYFUNCTION("""COMPUTED_VALUE"""),200000.0)</f>
        <v>200000</v>
      </c>
      <c r="P25" s="168"/>
      <c r="Q25" s="168"/>
    </row>
    <row r="26">
      <c r="A26" s="168" t="str">
        <f>IFERROR(__xludf.DUMMYFUNCTION("""COMPUTED_VALUE"""),"Домодедово_ГП-28")</f>
        <v>Домодедово_ГП-28</v>
      </c>
      <c r="B26" s="168" t="str">
        <f>IFERROR(__xludf.DUMMYFUNCTION("""COMPUTED_VALUE"""),"Домодедово")</f>
        <v>Домодедово</v>
      </c>
      <c r="C26" s="168" t="str">
        <f>IFERROR(__xludf.DUMMYFUNCTION("""COMPUTED_VALUE"""),"ГП-28")</f>
        <v>ГП-28</v>
      </c>
      <c r="D26" s="168" t="str">
        <f>IFERROR(__xludf.DUMMYFUNCTION("""COMPUTED_VALUE"""),"ГП")</f>
        <v>ГП</v>
      </c>
      <c r="E26" s="168">
        <f>IFERROR(__xludf.DUMMYFUNCTION("""COMPUTED_VALUE"""),28.0)</f>
        <v>28</v>
      </c>
      <c r="F26" s="168" t="str">
        <f>IFERROR(__xludf.DUMMYFUNCTION("""COMPUTED_VALUE"""),"🏠")</f>
        <v>🏠</v>
      </c>
      <c r="G26" s="168" t="str">
        <f>IFERROR(__xludf.DUMMYFUNCTION("""COMPUTED_VALUE"""),"Московская область")</f>
        <v>Московская область</v>
      </c>
      <c r="H26" s="168" t="str">
        <f>IFERROR(__xludf.DUMMYFUNCTION("""COMPUTED_VALUE"""),"Комфорт")</f>
        <v>Комфорт</v>
      </c>
      <c r="I26" s="168" t="str">
        <f>IFERROR(__xludf.DUMMYFUNCTION("""COMPUTED_VALUE"""),"НР/Текущие ")</f>
        <v>НР/Текущие </v>
      </c>
      <c r="J26" s="170">
        <f>IFERROR(__xludf.DUMMYFUNCTION("""COMPUTED_VALUE"""),45093.0)</f>
        <v>45093</v>
      </c>
      <c r="K26" s="168"/>
      <c r="L26" s="171" t="str">
        <f>IFERROR(__xludf.DUMMYFUNCTION("""COMPUTED_VALUE"""),"Новые")</f>
        <v>Новые</v>
      </c>
      <c r="M26" s="172">
        <f>IFERROR(__xludf.DUMMYFUNCTION("""COMPUTED_VALUE"""),200000.0)</f>
        <v>200000</v>
      </c>
      <c r="P26" s="168"/>
      <c r="Q26" s="168"/>
    </row>
    <row r="27">
      <c r="A27" s="168" t="str">
        <f>IFERROR(__xludf.DUMMYFUNCTION("""COMPUTED_VALUE"""),"Домодедово_ГП-30")</f>
        <v>Домодедово_ГП-30</v>
      </c>
      <c r="B27" s="168" t="str">
        <f>IFERROR(__xludf.DUMMYFUNCTION("""COMPUTED_VALUE"""),"Домодедово")</f>
        <v>Домодедово</v>
      </c>
      <c r="C27" s="168" t="str">
        <f>IFERROR(__xludf.DUMMYFUNCTION("""COMPUTED_VALUE"""),"ГП-30")</f>
        <v>ГП-30</v>
      </c>
      <c r="D27" s="168" t="str">
        <f>IFERROR(__xludf.DUMMYFUNCTION("""COMPUTED_VALUE"""),"ГП")</f>
        <v>ГП</v>
      </c>
      <c r="E27" s="168">
        <f>IFERROR(__xludf.DUMMYFUNCTION("""COMPUTED_VALUE"""),30.0)</f>
        <v>30</v>
      </c>
      <c r="F27" s="168" t="str">
        <f>IFERROR(__xludf.DUMMYFUNCTION("""COMPUTED_VALUE"""),"🏠")</f>
        <v>🏠</v>
      </c>
      <c r="G27" s="168" t="str">
        <f>IFERROR(__xludf.DUMMYFUNCTION("""COMPUTED_VALUE"""),"Московская область")</f>
        <v>Московская область</v>
      </c>
      <c r="H27" s="168" t="str">
        <f>IFERROR(__xludf.DUMMYFUNCTION("""COMPUTED_VALUE"""),"Комфорт")</f>
        <v>Комфорт</v>
      </c>
      <c r="I27" s="168" t="str">
        <f>IFERROR(__xludf.DUMMYFUNCTION("""COMPUTED_VALUE"""),"НР/Текущие ")</f>
        <v>НР/Текущие </v>
      </c>
      <c r="J27" s="170">
        <f>IFERROR(__xludf.DUMMYFUNCTION("""COMPUTED_VALUE"""),45093.0)</f>
        <v>45093</v>
      </c>
      <c r="K27" s="168"/>
      <c r="L27" s="171" t="str">
        <f>IFERROR(__xludf.DUMMYFUNCTION("""COMPUTED_VALUE"""),"Новые")</f>
        <v>Новые</v>
      </c>
      <c r="M27" s="172">
        <f>IFERROR(__xludf.DUMMYFUNCTION("""COMPUTED_VALUE"""),200000.0)</f>
        <v>200000</v>
      </c>
      <c r="P27" s="168"/>
      <c r="Q27" s="168"/>
    </row>
    <row r="28">
      <c r="A28" s="168" t="str">
        <f>IFERROR(__xludf.DUMMYFUNCTION("""COMPUTED_VALUE"""),"Домодедово_ГП-31")</f>
        <v>Домодедово_ГП-31</v>
      </c>
      <c r="B28" s="168" t="str">
        <f>IFERROR(__xludf.DUMMYFUNCTION("""COMPUTED_VALUE"""),"Домодедово")</f>
        <v>Домодедово</v>
      </c>
      <c r="C28" s="168" t="str">
        <f>IFERROR(__xludf.DUMMYFUNCTION("""COMPUTED_VALUE"""),"ГП-31")</f>
        <v>ГП-31</v>
      </c>
      <c r="D28" s="168" t="str">
        <f>IFERROR(__xludf.DUMMYFUNCTION("""COMPUTED_VALUE"""),"ГП")</f>
        <v>ГП</v>
      </c>
      <c r="E28" s="168">
        <f>IFERROR(__xludf.DUMMYFUNCTION("""COMPUTED_VALUE"""),31.0)</f>
        <v>31</v>
      </c>
      <c r="F28" s="168" t="str">
        <f>IFERROR(__xludf.DUMMYFUNCTION("""COMPUTED_VALUE"""),"🏠")</f>
        <v>🏠</v>
      </c>
      <c r="G28" s="168" t="str">
        <f>IFERROR(__xludf.DUMMYFUNCTION("""COMPUTED_VALUE"""),"Московская область")</f>
        <v>Московская область</v>
      </c>
      <c r="H28" s="168" t="str">
        <f>IFERROR(__xludf.DUMMYFUNCTION("""COMPUTED_VALUE"""),"Комфорт")</f>
        <v>Комфорт</v>
      </c>
      <c r="I28" s="168" t="str">
        <f>IFERROR(__xludf.DUMMYFUNCTION("""COMPUTED_VALUE"""),"НР/Текущие ")</f>
        <v>НР/Текущие </v>
      </c>
      <c r="J28" s="170">
        <f>IFERROR(__xludf.DUMMYFUNCTION("""COMPUTED_VALUE"""),45093.0)</f>
        <v>45093</v>
      </c>
      <c r="K28" s="168"/>
      <c r="L28" s="171" t="str">
        <f>IFERROR(__xludf.DUMMYFUNCTION("""COMPUTED_VALUE"""),"Новые")</f>
        <v>Новые</v>
      </c>
      <c r="M28" s="172">
        <f>IFERROR(__xludf.DUMMYFUNCTION("""COMPUTED_VALUE"""),200000.0)</f>
        <v>200000</v>
      </c>
      <c r="P28" s="168"/>
      <c r="Q28" s="168"/>
    </row>
    <row r="29">
      <c r="A29" s="168" t="str">
        <f>IFERROR(__xludf.DUMMYFUNCTION("""COMPUTED_VALUE"""),"Домодедово_ГП-32")</f>
        <v>Домодедово_ГП-32</v>
      </c>
      <c r="B29" s="168" t="str">
        <f>IFERROR(__xludf.DUMMYFUNCTION("""COMPUTED_VALUE"""),"Домодедово")</f>
        <v>Домодедово</v>
      </c>
      <c r="C29" s="168" t="str">
        <f>IFERROR(__xludf.DUMMYFUNCTION("""COMPUTED_VALUE"""),"ГП-32")</f>
        <v>ГП-32</v>
      </c>
      <c r="D29" s="168" t="str">
        <f>IFERROR(__xludf.DUMMYFUNCTION("""COMPUTED_VALUE"""),"ГП")</f>
        <v>ГП</v>
      </c>
      <c r="E29" s="168">
        <f>IFERROR(__xludf.DUMMYFUNCTION("""COMPUTED_VALUE"""),32.0)</f>
        <v>32</v>
      </c>
      <c r="F29" s="168" t="str">
        <f>IFERROR(__xludf.DUMMYFUNCTION("""COMPUTED_VALUE"""),"🏠")</f>
        <v>🏠</v>
      </c>
      <c r="G29" s="168" t="str">
        <f>IFERROR(__xludf.DUMMYFUNCTION("""COMPUTED_VALUE"""),"Московская область")</f>
        <v>Московская область</v>
      </c>
      <c r="H29" s="168" t="str">
        <f>IFERROR(__xludf.DUMMYFUNCTION("""COMPUTED_VALUE"""),"Комфорт")</f>
        <v>Комфорт</v>
      </c>
      <c r="I29" s="168" t="str">
        <f>IFERROR(__xludf.DUMMYFUNCTION("""COMPUTED_VALUE"""),"НР/Текущие ")</f>
        <v>НР/Текущие </v>
      </c>
      <c r="J29" s="170">
        <f>IFERROR(__xludf.DUMMYFUNCTION("""COMPUTED_VALUE"""),45093.0)</f>
        <v>45093</v>
      </c>
      <c r="K29" s="168"/>
      <c r="L29" s="171" t="str">
        <f>IFERROR(__xludf.DUMMYFUNCTION("""COMPUTED_VALUE"""),"Новые")</f>
        <v>Новые</v>
      </c>
      <c r="M29" s="172">
        <f>IFERROR(__xludf.DUMMYFUNCTION("""COMPUTED_VALUE"""),200000.0)</f>
        <v>200000</v>
      </c>
      <c r="P29" s="168"/>
      <c r="Q29" s="168"/>
    </row>
    <row r="30">
      <c r="A30" s="168" t="str">
        <f>IFERROR(__xludf.DUMMYFUNCTION("""COMPUTED_VALUE"""),"Домодедово_ГП-33")</f>
        <v>Домодедово_ГП-33</v>
      </c>
      <c r="B30" s="168" t="str">
        <f>IFERROR(__xludf.DUMMYFUNCTION("""COMPUTED_VALUE"""),"Домодедово")</f>
        <v>Домодедово</v>
      </c>
      <c r="C30" s="168" t="str">
        <f>IFERROR(__xludf.DUMMYFUNCTION("""COMPUTED_VALUE"""),"ГП-33")</f>
        <v>ГП-33</v>
      </c>
      <c r="D30" s="168" t="str">
        <f>IFERROR(__xludf.DUMMYFUNCTION("""COMPUTED_VALUE"""),"ГП")</f>
        <v>ГП</v>
      </c>
      <c r="E30" s="168">
        <f>IFERROR(__xludf.DUMMYFUNCTION("""COMPUTED_VALUE"""),33.0)</f>
        <v>33</v>
      </c>
      <c r="F30" s="168" t="str">
        <f>IFERROR(__xludf.DUMMYFUNCTION("""COMPUTED_VALUE"""),"🏠")</f>
        <v>🏠</v>
      </c>
      <c r="G30" s="168" t="str">
        <f>IFERROR(__xludf.DUMMYFUNCTION("""COMPUTED_VALUE"""),"Московская область")</f>
        <v>Московская область</v>
      </c>
      <c r="H30" s="168" t="str">
        <f>IFERROR(__xludf.DUMMYFUNCTION("""COMPUTED_VALUE"""),"Комфорт")</f>
        <v>Комфорт</v>
      </c>
      <c r="I30" s="168" t="str">
        <f>IFERROR(__xludf.DUMMYFUNCTION("""COMPUTED_VALUE"""),"НР/Текущие ")</f>
        <v>НР/Текущие </v>
      </c>
      <c r="J30" s="170">
        <f>IFERROR(__xludf.DUMMYFUNCTION("""COMPUTED_VALUE"""),45093.0)</f>
        <v>45093</v>
      </c>
      <c r="K30" s="168"/>
      <c r="L30" s="171" t="str">
        <f>IFERROR(__xludf.DUMMYFUNCTION("""COMPUTED_VALUE"""),"Новые")</f>
        <v>Новые</v>
      </c>
      <c r="M30" s="172">
        <f>IFERROR(__xludf.DUMMYFUNCTION("""COMPUTED_VALUE"""),200000.0)</f>
        <v>200000</v>
      </c>
      <c r="P30" s="168"/>
      <c r="Q30" s="168"/>
    </row>
    <row r="31">
      <c r="A31" s="168" t="str">
        <f>IFERROR(__xludf.DUMMYFUNCTION("""COMPUTED_VALUE"""),"Домодедово_ГП-34")</f>
        <v>Домодедово_ГП-34</v>
      </c>
      <c r="B31" s="168" t="str">
        <f>IFERROR(__xludf.DUMMYFUNCTION("""COMPUTED_VALUE"""),"Домодедово")</f>
        <v>Домодедово</v>
      </c>
      <c r="C31" s="168" t="str">
        <f>IFERROR(__xludf.DUMMYFUNCTION("""COMPUTED_VALUE"""),"ГП-34")</f>
        <v>ГП-34</v>
      </c>
      <c r="D31" s="168" t="str">
        <f>IFERROR(__xludf.DUMMYFUNCTION("""COMPUTED_VALUE"""),"ГП")</f>
        <v>ГП</v>
      </c>
      <c r="E31" s="168">
        <f>IFERROR(__xludf.DUMMYFUNCTION("""COMPUTED_VALUE"""),34.0)</f>
        <v>34</v>
      </c>
      <c r="F31" s="168" t="str">
        <f>IFERROR(__xludf.DUMMYFUNCTION("""COMPUTED_VALUE"""),"🏠")</f>
        <v>🏠</v>
      </c>
      <c r="G31" s="168" t="str">
        <f>IFERROR(__xludf.DUMMYFUNCTION("""COMPUTED_VALUE"""),"Московская область")</f>
        <v>Московская область</v>
      </c>
      <c r="H31" s="168" t="str">
        <f>IFERROR(__xludf.DUMMYFUNCTION("""COMPUTED_VALUE"""),"Комфорт")</f>
        <v>Комфорт</v>
      </c>
      <c r="I31" s="168" t="str">
        <f>IFERROR(__xludf.DUMMYFUNCTION("""COMPUTED_VALUE"""),"НР/Текущие ")</f>
        <v>НР/Текущие </v>
      </c>
      <c r="J31" s="170">
        <f>IFERROR(__xludf.DUMMYFUNCTION("""COMPUTED_VALUE"""),45093.0)</f>
        <v>45093</v>
      </c>
      <c r="K31" s="168"/>
      <c r="L31" s="171" t="str">
        <f>IFERROR(__xludf.DUMMYFUNCTION("""COMPUTED_VALUE"""),"Новые")</f>
        <v>Новые</v>
      </c>
      <c r="M31" s="172">
        <f>IFERROR(__xludf.DUMMYFUNCTION("""COMPUTED_VALUE"""),200000.0)</f>
        <v>200000</v>
      </c>
      <c r="P31" s="168"/>
      <c r="Q31" s="168"/>
    </row>
    <row r="32">
      <c r="A32" s="168" t="str">
        <f>IFERROR(__xludf.DUMMYFUNCTION("""COMPUTED_VALUE"""),"Домодедово_ГП-35")</f>
        <v>Домодедово_ГП-35</v>
      </c>
      <c r="B32" s="168" t="str">
        <f>IFERROR(__xludf.DUMMYFUNCTION("""COMPUTED_VALUE"""),"Домодедово")</f>
        <v>Домодедово</v>
      </c>
      <c r="C32" s="168" t="str">
        <f>IFERROR(__xludf.DUMMYFUNCTION("""COMPUTED_VALUE"""),"ГП-35")</f>
        <v>ГП-35</v>
      </c>
      <c r="D32" s="168" t="str">
        <f>IFERROR(__xludf.DUMMYFUNCTION("""COMPUTED_VALUE"""),"ГП")</f>
        <v>ГП</v>
      </c>
      <c r="E32" s="168">
        <f>IFERROR(__xludf.DUMMYFUNCTION("""COMPUTED_VALUE"""),35.0)</f>
        <v>35</v>
      </c>
      <c r="F32" s="168" t="str">
        <f>IFERROR(__xludf.DUMMYFUNCTION("""COMPUTED_VALUE"""),"🏠")</f>
        <v>🏠</v>
      </c>
      <c r="G32" s="168" t="str">
        <f>IFERROR(__xludf.DUMMYFUNCTION("""COMPUTED_VALUE"""),"Московская область")</f>
        <v>Московская область</v>
      </c>
      <c r="H32" s="168" t="str">
        <f>IFERROR(__xludf.DUMMYFUNCTION("""COMPUTED_VALUE"""),"Комфорт")</f>
        <v>Комфорт</v>
      </c>
      <c r="I32" s="168" t="str">
        <f>IFERROR(__xludf.DUMMYFUNCTION("""COMPUTED_VALUE"""),"НР/Текущие ")</f>
        <v>НР/Текущие </v>
      </c>
      <c r="J32" s="170">
        <f>IFERROR(__xludf.DUMMYFUNCTION("""COMPUTED_VALUE"""),45093.0)</f>
        <v>45093</v>
      </c>
      <c r="K32" s="168"/>
      <c r="L32" s="171" t="str">
        <f>IFERROR(__xludf.DUMMYFUNCTION("""COMPUTED_VALUE"""),"Новые")</f>
        <v>Новые</v>
      </c>
      <c r="M32" s="172">
        <f>IFERROR(__xludf.DUMMYFUNCTION("""COMPUTED_VALUE"""),200000.0)</f>
        <v>200000</v>
      </c>
      <c r="P32" s="168"/>
      <c r="Q32" s="168"/>
    </row>
    <row r="33">
      <c r="A33" s="168" t="str">
        <f>IFERROR(__xludf.DUMMYFUNCTION("""COMPUTED_VALUE"""),"Домодедово_ГП-27")</f>
        <v>Домодедово_ГП-27</v>
      </c>
      <c r="B33" s="168" t="str">
        <f>IFERROR(__xludf.DUMMYFUNCTION("""COMPUTED_VALUE"""),"Домодедово")</f>
        <v>Домодедово</v>
      </c>
      <c r="C33" s="168" t="str">
        <f>IFERROR(__xludf.DUMMYFUNCTION("""COMPUTED_VALUE"""),"ГП-27")</f>
        <v>ГП-27</v>
      </c>
      <c r="D33" s="168" t="str">
        <f>IFERROR(__xludf.DUMMYFUNCTION("""COMPUTED_VALUE"""),"ГП")</f>
        <v>ГП</v>
      </c>
      <c r="E33" s="168">
        <f>IFERROR(__xludf.DUMMYFUNCTION("""COMPUTED_VALUE"""),27.0)</f>
        <v>27</v>
      </c>
      <c r="F33" s="168" t="str">
        <f>IFERROR(__xludf.DUMMYFUNCTION("""COMPUTED_VALUE"""),"🏠")</f>
        <v>🏠</v>
      </c>
      <c r="G33" s="168" t="str">
        <f>IFERROR(__xludf.DUMMYFUNCTION("""COMPUTED_VALUE"""),"Московская область")</f>
        <v>Московская область</v>
      </c>
      <c r="H33" s="168" t="str">
        <f>IFERROR(__xludf.DUMMYFUNCTION("""COMPUTED_VALUE"""),"Комфорт")</f>
        <v>Комфорт</v>
      </c>
      <c r="I33" s="168" t="str">
        <f>IFERROR(__xludf.DUMMYFUNCTION("""COMPUTED_VALUE"""),"НР/Текущие ")</f>
        <v>НР/Текущие </v>
      </c>
      <c r="J33" s="170">
        <f>IFERROR(__xludf.DUMMYFUNCTION("""COMPUTED_VALUE"""),45093.0)</f>
        <v>45093</v>
      </c>
      <c r="K33" s="168"/>
      <c r="L33" s="171" t="str">
        <f>IFERROR(__xludf.DUMMYFUNCTION("""COMPUTED_VALUE"""),"Новые")</f>
        <v>Новые</v>
      </c>
      <c r="M33" s="172">
        <f>IFERROR(__xludf.DUMMYFUNCTION("""COMPUTED_VALUE"""),200000.0)</f>
        <v>200000</v>
      </c>
      <c r="P33" s="168"/>
      <c r="Q33" s="168"/>
    </row>
    <row r="34">
      <c r="A34" s="168" t="str">
        <f>IFERROR(__xludf.DUMMYFUNCTION("""COMPUTED_VALUE"""),"Домодедово_ГП-37")</f>
        <v>Домодедово_ГП-37</v>
      </c>
      <c r="B34" s="168" t="str">
        <f>IFERROR(__xludf.DUMMYFUNCTION("""COMPUTED_VALUE"""),"Домодедово")</f>
        <v>Домодедово</v>
      </c>
      <c r="C34" s="168" t="str">
        <f>IFERROR(__xludf.DUMMYFUNCTION("""COMPUTED_VALUE"""),"ГП-37")</f>
        <v>ГП-37</v>
      </c>
      <c r="D34" s="168" t="str">
        <f>IFERROR(__xludf.DUMMYFUNCTION("""COMPUTED_VALUE"""),"ГП")</f>
        <v>ГП</v>
      </c>
      <c r="E34" s="168">
        <f>IFERROR(__xludf.DUMMYFUNCTION("""COMPUTED_VALUE"""),37.0)</f>
        <v>37</v>
      </c>
      <c r="F34" s="168" t="str">
        <f>IFERROR(__xludf.DUMMYFUNCTION("""COMPUTED_VALUE"""),"🏠")</f>
        <v>🏠</v>
      </c>
      <c r="G34" s="168" t="str">
        <f>IFERROR(__xludf.DUMMYFUNCTION("""COMPUTED_VALUE"""),"Московская область")</f>
        <v>Московская область</v>
      </c>
      <c r="H34" s="168" t="str">
        <f>IFERROR(__xludf.DUMMYFUNCTION("""COMPUTED_VALUE"""),"Комфорт")</f>
        <v>Комфорт</v>
      </c>
      <c r="I34" s="168" t="str">
        <f>IFERROR(__xludf.DUMMYFUNCTION("""COMPUTED_VALUE"""),"НР/Текущие ")</f>
        <v>НР/Текущие </v>
      </c>
      <c r="J34" s="170">
        <f>IFERROR(__xludf.DUMMYFUNCTION("""COMPUTED_VALUE"""),45093.0)</f>
        <v>45093</v>
      </c>
      <c r="K34" s="168"/>
      <c r="L34" s="171" t="str">
        <f>IFERROR(__xludf.DUMMYFUNCTION("""COMPUTED_VALUE"""),"Новые")</f>
        <v>Новые</v>
      </c>
      <c r="M34" s="172">
        <f>IFERROR(__xludf.DUMMYFUNCTION("""COMPUTED_VALUE"""),200000.0)</f>
        <v>200000</v>
      </c>
      <c r="P34" s="168"/>
      <c r="Q34" s="168"/>
    </row>
    <row r="35">
      <c r="A35" s="168" t="str">
        <f>IFERROR(__xludf.DUMMYFUNCTION("""COMPUTED_VALUE"""),"Домодедово_ГП-36")</f>
        <v>Домодедово_ГП-36</v>
      </c>
      <c r="B35" s="168" t="str">
        <f>IFERROR(__xludf.DUMMYFUNCTION("""COMPUTED_VALUE"""),"Домодедово")</f>
        <v>Домодедово</v>
      </c>
      <c r="C35" s="168" t="str">
        <f>IFERROR(__xludf.DUMMYFUNCTION("""COMPUTED_VALUE"""),"ГП-36")</f>
        <v>ГП-36</v>
      </c>
      <c r="D35" s="168" t="str">
        <f>IFERROR(__xludf.DUMMYFUNCTION("""COMPUTED_VALUE"""),"ГП")</f>
        <v>ГП</v>
      </c>
      <c r="E35" s="168">
        <f>IFERROR(__xludf.DUMMYFUNCTION("""COMPUTED_VALUE"""),36.0)</f>
        <v>36</v>
      </c>
      <c r="F35" s="168" t="str">
        <f>IFERROR(__xludf.DUMMYFUNCTION("""COMPUTED_VALUE"""),"🏠")</f>
        <v>🏠</v>
      </c>
      <c r="G35" s="168" t="str">
        <f>IFERROR(__xludf.DUMMYFUNCTION("""COMPUTED_VALUE"""),"Московская область")</f>
        <v>Московская область</v>
      </c>
      <c r="H35" s="168" t="str">
        <f>IFERROR(__xludf.DUMMYFUNCTION("""COMPUTED_VALUE"""),"Комфорт")</f>
        <v>Комфорт</v>
      </c>
      <c r="I35" s="168" t="str">
        <f>IFERROR(__xludf.DUMMYFUNCTION("""COMPUTED_VALUE"""),"НР/Текущие ")</f>
        <v>НР/Текущие </v>
      </c>
      <c r="J35" s="170">
        <f>IFERROR(__xludf.DUMMYFUNCTION("""COMPUTED_VALUE"""),45093.0)</f>
        <v>45093</v>
      </c>
      <c r="K35" s="168"/>
      <c r="L35" s="171" t="str">
        <f>IFERROR(__xludf.DUMMYFUNCTION("""COMPUTED_VALUE"""),"Новые")</f>
        <v>Новые</v>
      </c>
      <c r="M35" s="172">
        <f>IFERROR(__xludf.DUMMYFUNCTION("""COMPUTED_VALUE"""),200000.0)</f>
        <v>200000</v>
      </c>
      <c r="P35" s="168"/>
      <c r="Q35" s="168"/>
    </row>
    <row r="36">
      <c r="A36" s="168" t="str">
        <f>IFERROR(__xludf.DUMMYFUNCTION("""COMPUTED_VALUE"""),"Домодедово_ГП-39")</f>
        <v>Домодедово_ГП-39</v>
      </c>
      <c r="B36" s="168" t="str">
        <f>IFERROR(__xludf.DUMMYFUNCTION("""COMPUTED_VALUE"""),"Домодедово")</f>
        <v>Домодедово</v>
      </c>
      <c r="C36" s="168" t="str">
        <f>IFERROR(__xludf.DUMMYFUNCTION("""COMPUTED_VALUE"""),"ГП-39")</f>
        <v>ГП-39</v>
      </c>
      <c r="D36" s="168" t="str">
        <f>IFERROR(__xludf.DUMMYFUNCTION("""COMPUTED_VALUE"""),"ГП")</f>
        <v>ГП</v>
      </c>
      <c r="E36" s="168">
        <f>IFERROR(__xludf.DUMMYFUNCTION("""COMPUTED_VALUE"""),39.0)</f>
        <v>39</v>
      </c>
      <c r="F36" s="168" t="str">
        <f>IFERROR(__xludf.DUMMYFUNCTION("""COMPUTED_VALUE"""),"🏠")</f>
        <v>🏠</v>
      </c>
      <c r="G36" s="168" t="str">
        <f>IFERROR(__xludf.DUMMYFUNCTION("""COMPUTED_VALUE"""),"Московская область")</f>
        <v>Московская область</v>
      </c>
      <c r="H36" s="168" t="str">
        <f>IFERROR(__xludf.DUMMYFUNCTION("""COMPUTED_VALUE"""),"Комфорт")</f>
        <v>Комфорт</v>
      </c>
      <c r="I36" s="168" t="str">
        <f>IFERROR(__xludf.DUMMYFUNCTION("""COMPUTED_VALUE"""),"НР/Текущие ")</f>
        <v>НР/Текущие </v>
      </c>
      <c r="J36" s="170">
        <f>IFERROR(__xludf.DUMMYFUNCTION("""COMPUTED_VALUE"""),45093.0)</f>
        <v>45093</v>
      </c>
      <c r="K36" s="168"/>
      <c r="L36" s="171" t="str">
        <f>IFERROR(__xludf.DUMMYFUNCTION("""COMPUTED_VALUE"""),"Новые")</f>
        <v>Новые</v>
      </c>
      <c r="M36" s="172">
        <f>IFERROR(__xludf.DUMMYFUNCTION("""COMPUTED_VALUE"""),200000.0)</f>
        <v>200000</v>
      </c>
      <c r="P36" s="168"/>
      <c r="Q36" s="168"/>
    </row>
    <row r="37">
      <c r="A37" s="168" t="str">
        <f>IFERROR(__xludf.DUMMYFUNCTION("""COMPUTED_VALUE"""),"Домодедово_ГП-38")</f>
        <v>Домодедово_ГП-38</v>
      </c>
      <c r="B37" s="168" t="str">
        <f>IFERROR(__xludf.DUMMYFUNCTION("""COMPUTED_VALUE"""),"Домодедово")</f>
        <v>Домодедово</v>
      </c>
      <c r="C37" s="168" t="str">
        <f>IFERROR(__xludf.DUMMYFUNCTION("""COMPUTED_VALUE"""),"ГП-38")</f>
        <v>ГП-38</v>
      </c>
      <c r="D37" s="168" t="str">
        <f>IFERROR(__xludf.DUMMYFUNCTION("""COMPUTED_VALUE"""),"ГП")</f>
        <v>ГП</v>
      </c>
      <c r="E37" s="168">
        <f>IFERROR(__xludf.DUMMYFUNCTION("""COMPUTED_VALUE"""),38.0)</f>
        <v>38</v>
      </c>
      <c r="F37" s="168" t="str">
        <f>IFERROR(__xludf.DUMMYFUNCTION("""COMPUTED_VALUE"""),"🏠")</f>
        <v>🏠</v>
      </c>
      <c r="G37" s="168" t="str">
        <f>IFERROR(__xludf.DUMMYFUNCTION("""COMPUTED_VALUE"""),"Московская область")</f>
        <v>Московская область</v>
      </c>
      <c r="H37" s="168" t="str">
        <f>IFERROR(__xludf.DUMMYFUNCTION("""COMPUTED_VALUE"""),"Комфорт")</f>
        <v>Комфорт</v>
      </c>
      <c r="I37" s="168" t="str">
        <f>IFERROR(__xludf.DUMMYFUNCTION("""COMPUTED_VALUE"""),"НР/Текущие ")</f>
        <v>НР/Текущие </v>
      </c>
      <c r="J37" s="170">
        <f>IFERROR(__xludf.DUMMYFUNCTION("""COMPUTED_VALUE"""),45093.0)</f>
        <v>45093</v>
      </c>
      <c r="K37" s="168"/>
      <c r="L37" s="171" t="str">
        <f>IFERROR(__xludf.DUMMYFUNCTION("""COMPUTED_VALUE"""),"Новые")</f>
        <v>Новые</v>
      </c>
      <c r="M37" s="172">
        <f>IFERROR(__xludf.DUMMYFUNCTION("""COMPUTED_VALUE"""),200000.0)</f>
        <v>200000</v>
      </c>
      <c r="P37" s="168"/>
      <c r="Q37" s="168"/>
    </row>
    <row r="38">
      <c r="A38" s="168" t="str">
        <f>IFERROR(__xludf.DUMMYFUNCTION("""COMPUTED_VALUE"""),"Домодедово_ГП-40")</f>
        <v>Домодедово_ГП-40</v>
      </c>
      <c r="B38" s="168" t="str">
        <f>IFERROR(__xludf.DUMMYFUNCTION("""COMPUTED_VALUE"""),"Домодедово")</f>
        <v>Домодедово</v>
      </c>
      <c r="C38" s="168" t="str">
        <f>IFERROR(__xludf.DUMMYFUNCTION("""COMPUTED_VALUE"""),"ГП-40")</f>
        <v>ГП-40</v>
      </c>
      <c r="D38" s="168" t="str">
        <f>IFERROR(__xludf.DUMMYFUNCTION("""COMPUTED_VALUE"""),"ГП")</f>
        <v>ГП</v>
      </c>
      <c r="E38" s="168">
        <f>IFERROR(__xludf.DUMMYFUNCTION("""COMPUTED_VALUE"""),40.0)</f>
        <v>40</v>
      </c>
      <c r="F38" s="168" t="str">
        <f>IFERROR(__xludf.DUMMYFUNCTION("""COMPUTED_VALUE"""),"🏠")</f>
        <v>🏠</v>
      </c>
      <c r="G38" s="168" t="str">
        <f>IFERROR(__xludf.DUMMYFUNCTION("""COMPUTED_VALUE"""),"Московская область")</f>
        <v>Московская область</v>
      </c>
      <c r="H38" s="168" t="str">
        <f>IFERROR(__xludf.DUMMYFUNCTION("""COMPUTED_VALUE"""),"Комфорт")</f>
        <v>Комфорт</v>
      </c>
      <c r="I38" s="168" t="str">
        <f>IFERROR(__xludf.DUMMYFUNCTION("""COMPUTED_VALUE"""),"НР/Текущие ")</f>
        <v>НР/Текущие </v>
      </c>
      <c r="J38" s="170">
        <f>IFERROR(__xludf.DUMMYFUNCTION("""COMPUTED_VALUE"""),45093.0)</f>
        <v>45093</v>
      </c>
      <c r="K38" s="168"/>
      <c r="L38" s="171" t="str">
        <f>IFERROR(__xludf.DUMMYFUNCTION("""COMPUTED_VALUE"""),"Новые")</f>
        <v>Новые</v>
      </c>
      <c r="M38" s="172">
        <f>IFERROR(__xludf.DUMMYFUNCTION("""COMPUTED_VALUE"""),200000.0)</f>
        <v>200000</v>
      </c>
      <c r="P38" s="168"/>
      <c r="Q38" s="168"/>
    </row>
    <row r="39">
      <c r="A39" s="168" t="str">
        <f>IFERROR(__xludf.DUMMYFUNCTION("""COMPUTED_VALUE"""),"Домодедово_ГП-6")</f>
        <v>Домодедово_ГП-6</v>
      </c>
      <c r="B39" s="168" t="str">
        <f>IFERROR(__xludf.DUMMYFUNCTION("""COMPUTED_VALUE"""),"Домодедово")</f>
        <v>Домодедово</v>
      </c>
      <c r="C39" s="168" t="str">
        <f>IFERROR(__xludf.DUMMYFUNCTION("""COMPUTED_VALUE"""),"ГП-6")</f>
        <v>ГП-6</v>
      </c>
      <c r="D39" s="168" t="str">
        <f>IFERROR(__xludf.DUMMYFUNCTION("""COMPUTED_VALUE"""),"ГП")</f>
        <v>ГП</v>
      </c>
      <c r="E39" s="168">
        <f>IFERROR(__xludf.DUMMYFUNCTION("""COMPUTED_VALUE"""),6.0)</f>
        <v>6</v>
      </c>
      <c r="F39" s="168" t="str">
        <f>IFERROR(__xludf.DUMMYFUNCTION("""COMPUTED_VALUE"""),"🏠")</f>
        <v>🏠</v>
      </c>
      <c r="G39" s="168" t="str">
        <f>IFERROR(__xludf.DUMMYFUNCTION("""COMPUTED_VALUE"""),"Московская область")</f>
        <v>Московская область</v>
      </c>
      <c r="H39" s="168" t="str">
        <f>IFERROR(__xludf.DUMMYFUNCTION("""COMPUTED_VALUE"""),"Комфорт")</f>
        <v>Комфорт</v>
      </c>
      <c r="I39" s="168" t="str">
        <f>IFERROR(__xludf.DUMMYFUNCTION("""COMPUTED_VALUE"""),"Ростов-на-Дону")</f>
        <v>Ростов-на-Дону</v>
      </c>
      <c r="J39" s="170">
        <f>IFERROR(__xludf.DUMMYFUNCTION("""COMPUTED_VALUE"""),45098.0)</f>
        <v>45098</v>
      </c>
      <c r="K39" s="168">
        <f>IFERROR(__xludf.DUMMYFUNCTION("""COMPUTED_VALUE"""),37591.75)</f>
        <v>37591.75</v>
      </c>
      <c r="L39" s="171" t="str">
        <f>IFERROR(__xludf.DUMMYFUNCTION("""COMPUTED_VALUE"""),"Новые")</f>
        <v>Новые</v>
      </c>
      <c r="M39" s="172">
        <f>IFERROR(__xludf.DUMMYFUNCTION("""COMPUTED_VALUE"""),200000.0)</f>
        <v>200000</v>
      </c>
      <c r="P39" s="168"/>
      <c r="Q39" s="168"/>
    </row>
    <row r="40">
      <c r="A40" s="168" t="str">
        <f>IFERROR(__xludf.DUMMYFUNCTION("""COMPUTED_VALUE"""),"Домодедово_ГП-7")</f>
        <v>Домодедово_ГП-7</v>
      </c>
      <c r="B40" s="168" t="str">
        <f>IFERROR(__xludf.DUMMYFUNCTION("""COMPUTED_VALUE"""),"Домодедово")</f>
        <v>Домодедово</v>
      </c>
      <c r="C40" s="168" t="str">
        <f>IFERROR(__xludf.DUMMYFUNCTION("""COMPUTED_VALUE"""),"ГП-7")</f>
        <v>ГП-7</v>
      </c>
      <c r="D40" s="168" t="str">
        <f>IFERROR(__xludf.DUMMYFUNCTION("""COMPUTED_VALUE"""),"ГП")</f>
        <v>ГП</v>
      </c>
      <c r="E40" s="168">
        <f>IFERROR(__xludf.DUMMYFUNCTION("""COMPUTED_VALUE"""),7.0)</f>
        <v>7</v>
      </c>
      <c r="F40" s="168" t="str">
        <f>IFERROR(__xludf.DUMMYFUNCTION("""COMPUTED_VALUE"""),"🏠")</f>
        <v>🏠</v>
      </c>
      <c r="G40" s="168" t="str">
        <f>IFERROR(__xludf.DUMMYFUNCTION("""COMPUTED_VALUE"""),"Московская область")</f>
        <v>Московская область</v>
      </c>
      <c r="H40" s="168" t="str">
        <f>IFERROR(__xludf.DUMMYFUNCTION("""COMPUTED_VALUE"""),"Комфорт")</f>
        <v>Комфорт</v>
      </c>
      <c r="I40" s="168" t="str">
        <f>IFERROR(__xludf.DUMMYFUNCTION("""COMPUTED_VALUE"""),"Ростов-на-Дону")</f>
        <v>Ростов-на-Дону</v>
      </c>
      <c r="J40" s="170">
        <f>IFERROR(__xludf.DUMMYFUNCTION("""COMPUTED_VALUE"""),45098.0)</f>
        <v>45098</v>
      </c>
      <c r="K40" s="168">
        <f>IFERROR(__xludf.DUMMYFUNCTION("""COMPUTED_VALUE"""),40170.0)</f>
        <v>40170</v>
      </c>
      <c r="L40" s="171" t="str">
        <f>IFERROR(__xludf.DUMMYFUNCTION("""COMPUTED_VALUE"""),"Новые")</f>
        <v>Новые</v>
      </c>
      <c r="M40" s="172">
        <f>IFERROR(__xludf.DUMMYFUNCTION("""COMPUTED_VALUE"""),200000.0)</f>
        <v>200000</v>
      </c>
      <c r="P40" s="168"/>
      <c r="Q40" s="168"/>
    </row>
    <row r="41">
      <c r="A41" s="168" t="str">
        <f>IFERROR(__xludf.DUMMYFUNCTION("""COMPUTED_VALUE"""),"Домодедово_ГП-8п")</f>
        <v>Домодедово_ГП-8п</v>
      </c>
      <c r="B41" s="168" t="str">
        <f>IFERROR(__xludf.DUMMYFUNCTION("""COMPUTED_VALUE"""),"Домодедово")</f>
        <v>Домодедово</v>
      </c>
      <c r="C41" s="168" t="str">
        <f>IFERROR(__xludf.DUMMYFUNCTION("""COMPUTED_VALUE"""),"ГП-8п")</f>
        <v>ГП-8п</v>
      </c>
      <c r="D41" s="168" t="str">
        <f>IFERROR(__xludf.DUMMYFUNCTION("""COMPUTED_VALUE"""),"ГП")</f>
        <v>ГП</v>
      </c>
      <c r="E41" s="168" t="str">
        <f>IFERROR(__xludf.DUMMYFUNCTION("""COMPUTED_VALUE"""),"8п")</f>
        <v>8п</v>
      </c>
      <c r="F41" s="168" t="str">
        <f>IFERROR(__xludf.DUMMYFUNCTION("""COMPUTED_VALUE"""),"🚗")</f>
        <v>🚗</v>
      </c>
      <c r="G41" s="168" t="str">
        <f>IFERROR(__xludf.DUMMYFUNCTION("""COMPUTED_VALUE"""),"Московская область")</f>
        <v>Московская область</v>
      </c>
      <c r="H41" s="168" t="str">
        <f>IFERROR(__xludf.DUMMYFUNCTION("""COMPUTED_VALUE"""),"Комфорт")</f>
        <v>Комфорт</v>
      </c>
      <c r="I41" s="168" t="str">
        <f>IFERROR(__xludf.DUMMYFUNCTION("""COMPUTED_VALUE"""),"НР/Текущие ")</f>
        <v>НР/Текущие </v>
      </c>
      <c r="J41" s="170">
        <f>IFERROR(__xludf.DUMMYFUNCTION("""COMPUTED_VALUE"""),45098.0)</f>
        <v>45098</v>
      </c>
      <c r="K41" s="168"/>
      <c r="L41" s="168" t="str">
        <f>IFERROR(__xludf.DUMMYFUNCTION("""COMPUTED_VALUE"""),"#N/A")</f>
        <v>#N/A</v>
      </c>
      <c r="M41" s="172">
        <f>IFERROR(__xludf.DUMMYFUNCTION("""COMPUTED_VALUE"""),200000.0)</f>
        <v>200000</v>
      </c>
      <c r="P41" s="168"/>
      <c r="Q41" s="168"/>
    </row>
    <row r="42">
      <c r="A42" s="168" t="str">
        <f>IFERROR(__xludf.DUMMYFUNCTION("""COMPUTED_VALUE"""),"Домодедово_ГП-29п")</f>
        <v>Домодедово_ГП-29п</v>
      </c>
      <c r="B42" s="168" t="str">
        <f>IFERROR(__xludf.DUMMYFUNCTION("""COMPUTED_VALUE"""),"Домодедово")</f>
        <v>Домодедово</v>
      </c>
      <c r="C42" s="168" t="str">
        <f>IFERROR(__xludf.DUMMYFUNCTION("""COMPUTED_VALUE"""),"ГП-29п")</f>
        <v>ГП-29п</v>
      </c>
      <c r="D42" s="168" t="str">
        <f>IFERROR(__xludf.DUMMYFUNCTION("""COMPUTED_VALUE"""),"ГП")</f>
        <v>ГП</v>
      </c>
      <c r="E42" s="168" t="str">
        <f>IFERROR(__xludf.DUMMYFUNCTION("""COMPUTED_VALUE"""),"29п")</f>
        <v>29п</v>
      </c>
      <c r="F42" s="168" t="str">
        <f>IFERROR(__xludf.DUMMYFUNCTION("""COMPUTED_VALUE"""),"🚗")</f>
        <v>🚗</v>
      </c>
      <c r="G42" s="168" t="str">
        <f>IFERROR(__xludf.DUMMYFUNCTION("""COMPUTED_VALUE"""),"Московская область")</f>
        <v>Московская область</v>
      </c>
      <c r="H42" s="168" t="str">
        <f>IFERROR(__xludf.DUMMYFUNCTION("""COMPUTED_VALUE"""),"Комфорт")</f>
        <v>Комфорт</v>
      </c>
      <c r="I42" s="168" t="str">
        <f>IFERROR(__xludf.DUMMYFUNCTION("""COMPUTED_VALUE"""),"НР/Текущие ")</f>
        <v>НР/Текущие </v>
      </c>
      <c r="J42" s="170">
        <f>IFERROR(__xludf.DUMMYFUNCTION("""COMPUTED_VALUE"""),45098.0)</f>
        <v>45098</v>
      </c>
      <c r="K42" s="168"/>
      <c r="L42" s="168" t="str">
        <f>IFERROR(__xludf.DUMMYFUNCTION("""COMPUTED_VALUE"""),"#N/A")</f>
        <v>#N/A</v>
      </c>
      <c r="M42" s="172">
        <f>IFERROR(__xludf.DUMMYFUNCTION("""COMPUTED_VALUE"""),200000.0)</f>
        <v>200000</v>
      </c>
      <c r="P42" s="168"/>
      <c r="Q42" s="168"/>
    </row>
    <row r="43">
      <c r="A43" s="168" t="str">
        <f>IFERROR(__xludf.DUMMYFUNCTION("""COMPUTED_VALUE"""),"Домодедово_ГП-23п")</f>
        <v>Домодедово_ГП-23п</v>
      </c>
      <c r="B43" s="168" t="str">
        <f>IFERROR(__xludf.DUMMYFUNCTION("""COMPUTED_VALUE"""),"Домодедово")</f>
        <v>Домодедово</v>
      </c>
      <c r="C43" s="168" t="str">
        <f>IFERROR(__xludf.DUMMYFUNCTION("""COMPUTED_VALUE"""),"ГП-23п")</f>
        <v>ГП-23п</v>
      </c>
      <c r="D43" s="168" t="str">
        <f>IFERROR(__xludf.DUMMYFUNCTION("""COMPUTED_VALUE"""),"ГП")</f>
        <v>ГП</v>
      </c>
      <c r="E43" s="168" t="str">
        <f>IFERROR(__xludf.DUMMYFUNCTION("""COMPUTED_VALUE"""),"23п")</f>
        <v>23п</v>
      </c>
      <c r="F43" s="168" t="str">
        <f>IFERROR(__xludf.DUMMYFUNCTION("""COMPUTED_VALUE"""),"🚗")</f>
        <v>🚗</v>
      </c>
      <c r="G43" s="168" t="str">
        <f>IFERROR(__xludf.DUMMYFUNCTION("""COMPUTED_VALUE"""),"Московская область")</f>
        <v>Московская область</v>
      </c>
      <c r="H43" s="168" t="str">
        <f>IFERROR(__xludf.DUMMYFUNCTION("""COMPUTED_VALUE"""),"Комфорт")</f>
        <v>Комфорт</v>
      </c>
      <c r="I43" s="168" t="str">
        <f>IFERROR(__xludf.DUMMYFUNCTION("""COMPUTED_VALUE"""),"НР/Текущие ")</f>
        <v>НР/Текущие </v>
      </c>
      <c r="J43" s="170">
        <f>IFERROR(__xludf.DUMMYFUNCTION("""COMPUTED_VALUE"""),45098.0)</f>
        <v>45098</v>
      </c>
      <c r="K43" s="168"/>
      <c r="L43" s="168" t="str">
        <f>IFERROR(__xludf.DUMMYFUNCTION("""COMPUTED_VALUE"""),"#N/A")</f>
        <v>#N/A</v>
      </c>
      <c r="M43" s="172">
        <f>IFERROR(__xludf.DUMMYFUNCTION("""COMPUTED_VALUE"""),200000.0)</f>
        <v>200000</v>
      </c>
      <c r="P43" s="168"/>
      <c r="Q43" s="168"/>
    </row>
    <row r="44">
      <c r="A44" s="168" t="str">
        <f>IFERROR(__xludf.DUMMYFUNCTION("""COMPUTED_VALUE"""),"Домодедово_ГП-14п")</f>
        <v>Домодедово_ГП-14п</v>
      </c>
      <c r="B44" s="168" t="str">
        <f>IFERROR(__xludf.DUMMYFUNCTION("""COMPUTED_VALUE"""),"Домодедово")</f>
        <v>Домодедово</v>
      </c>
      <c r="C44" s="168" t="str">
        <f>IFERROR(__xludf.DUMMYFUNCTION("""COMPUTED_VALUE"""),"ГП-14п")</f>
        <v>ГП-14п</v>
      </c>
      <c r="D44" s="168" t="str">
        <f>IFERROR(__xludf.DUMMYFUNCTION("""COMPUTED_VALUE"""),"ГП")</f>
        <v>ГП</v>
      </c>
      <c r="E44" s="168" t="str">
        <f>IFERROR(__xludf.DUMMYFUNCTION("""COMPUTED_VALUE"""),"14п")</f>
        <v>14п</v>
      </c>
      <c r="F44" s="168" t="str">
        <f>IFERROR(__xludf.DUMMYFUNCTION("""COMPUTED_VALUE"""),"🚗")</f>
        <v>🚗</v>
      </c>
      <c r="G44" s="168" t="str">
        <f>IFERROR(__xludf.DUMMYFUNCTION("""COMPUTED_VALUE"""),"Московская область")</f>
        <v>Московская область</v>
      </c>
      <c r="H44" s="168" t="str">
        <f>IFERROR(__xludf.DUMMYFUNCTION("""COMPUTED_VALUE"""),"Комфорт")</f>
        <v>Комфорт</v>
      </c>
      <c r="I44" s="168" t="str">
        <f>IFERROR(__xludf.DUMMYFUNCTION("""COMPUTED_VALUE"""),"НР/Текущие ")</f>
        <v>НР/Текущие </v>
      </c>
      <c r="J44" s="170">
        <f>IFERROR(__xludf.DUMMYFUNCTION("""COMPUTED_VALUE"""),45098.0)</f>
        <v>45098</v>
      </c>
      <c r="K44" s="168"/>
      <c r="L44" s="168" t="str">
        <f>IFERROR(__xludf.DUMMYFUNCTION("""COMPUTED_VALUE"""),"#N/A")</f>
        <v>#N/A</v>
      </c>
      <c r="M44" s="172">
        <f>IFERROR(__xludf.DUMMYFUNCTION("""COMPUTED_VALUE"""),200000.0)</f>
        <v>200000</v>
      </c>
      <c r="P44" s="168"/>
      <c r="Q44" s="168"/>
    </row>
    <row r="45">
      <c r="A45" s="168" t="str">
        <f>IFERROR(__xludf.DUMMYFUNCTION("""COMPUTED_VALUE"""),"Домодедово_ГП-9п")</f>
        <v>Домодедово_ГП-9п</v>
      </c>
      <c r="B45" s="168" t="str">
        <f>IFERROR(__xludf.DUMMYFUNCTION("""COMPUTED_VALUE"""),"Домодедово")</f>
        <v>Домодедово</v>
      </c>
      <c r="C45" s="168" t="str">
        <f>IFERROR(__xludf.DUMMYFUNCTION("""COMPUTED_VALUE"""),"ГП-9п")</f>
        <v>ГП-9п</v>
      </c>
      <c r="D45" s="168" t="str">
        <f>IFERROR(__xludf.DUMMYFUNCTION("""COMPUTED_VALUE"""),"ГП")</f>
        <v>ГП</v>
      </c>
      <c r="E45" s="168" t="str">
        <f>IFERROR(__xludf.DUMMYFUNCTION("""COMPUTED_VALUE"""),"9п")</f>
        <v>9п</v>
      </c>
      <c r="F45" s="168" t="str">
        <f>IFERROR(__xludf.DUMMYFUNCTION("""COMPUTED_VALUE"""),"🚗")</f>
        <v>🚗</v>
      </c>
      <c r="G45" s="168" t="str">
        <f>IFERROR(__xludf.DUMMYFUNCTION("""COMPUTED_VALUE"""),"Московская область")</f>
        <v>Московская область</v>
      </c>
      <c r="H45" s="168" t="str">
        <f>IFERROR(__xludf.DUMMYFUNCTION("""COMPUTED_VALUE"""),"Комфорт")</f>
        <v>Комфорт</v>
      </c>
      <c r="I45" s="168" t="str">
        <f>IFERROR(__xludf.DUMMYFUNCTION("""COMPUTED_VALUE"""),"НР/Текущие ")</f>
        <v>НР/Текущие </v>
      </c>
      <c r="J45" s="170">
        <f>IFERROR(__xludf.DUMMYFUNCTION("""COMPUTED_VALUE"""),45098.0)</f>
        <v>45098</v>
      </c>
      <c r="K45" s="168"/>
      <c r="L45" s="168" t="str">
        <f>IFERROR(__xludf.DUMMYFUNCTION("""COMPUTED_VALUE"""),"#N/A")</f>
        <v>#N/A</v>
      </c>
      <c r="M45" s="172">
        <f>IFERROR(__xludf.DUMMYFUNCTION("""COMPUTED_VALUE"""),200000.0)</f>
        <v>200000</v>
      </c>
      <c r="P45" s="168"/>
      <c r="Q45" s="168"/>
    </row>
    <row r="46">
      <c r="A46" s="168" t="str">
        <f>IFERROR(__xludf.DUMMYFUNCTION("""COMPUTED_VALUE"""),"Европейский берег2_ГП-1")</f>
        <v>Европейский берег2_ГП-1</v>
      </c>
      <c r="B46" s="168" t="str">
        <f>IFERROR(__xludf.DUMMYFUNCTION("""COMPUTED_VALUE"""),"Европейский берег2")</f>
        <v>Европейский берег2</v>
      </c>
      <c r="C46" s="168" t="str">
        <f>IFERROR(__xludf.DUMMYFUNCTION("""COMPUTED_VALUE"""),"ГП-1")</f>
        <v>ГП-1</v>
      </c>
      <c r="D46" s="168" t="str">
        <f>IFERROR(__xludf.DUMMYFUNCTION("""COMPUTED_VALUE"""),"ГП")</f>
        <v>ГП</v>
      </c>
      <c r="E46" s="168">
        <f>IFERROR(__xludf.DUMMYFUNCTION("""COMPUTED_VALUE"""),1.0)</f>
        <v>1</v>
      </c>
      <c r="F46" s="168" t="str">
        <f>IFERROR(__xludf.DUMMYFUNCTION("""COMPUTED_VALUE"""),"🏠")</f>
        <v>🏠</v>
      </c>
      <c r="G46" s="170" t="str">
        <f>IFERROR(__xludf.DUMMYFUNCTION("""COMPUTED_VALUE"""),"Тюмень")</f>
        <v>Тюмень</v>
      </c>
      <c r="H46" s="168" t="str">
        <f>IFERROR(__xludf.DUMMYFUNCTION("""COMPUTED_VALUE"""),"Комфорт")</f>
        <v>Комфорт</v>
      </c>
      <c r="I46" s="168" t="str">
        <f>IFERROR(__xludf.DUMMYFUNCTION("""COMPUTED_VALUE"""),"Тюмень")</f>
        <v>Тюмень</v>
      </c>
      <c r="J46" s="170">
        <f>IFERROR(__xludf.DUMMYFUNCTION("""COMPUTED_VALUE"""),44951.0)</f>
        <v>44951</v>
      </c>
      <c r="K46" s="168">
        <f>IFERROR(__xludf.DUMMYFUNCTION("""COMPUTED_VALUE"""),42930.333999999995)</f>
        <v>42930.334</v>
      </c>
      <c r="L46" s="171" t="str">
        <f>IFERROR(__xludf.DUMMYFUNCTION("""COMPUTED_VALUE"""),"В работе")</f>
        <v>В работе</v>
      </c>
      <c r="M46" s="172">
        <f>IFERROR(__xludf.DUMMYFUNCTION("""COMPUTED_VALUE"""),100000.0)</f>
        <v>100000</v>
      </c>
      <c r="P46" s="168"/>
      <c r="Q46" s="168"/>
    </row>
    <row r="47">
      <c r="A47" s="168" t="str">
        <f>IFERROR(__xludf.DUMMYFUNCTION("""COMPUTED_VALUE"""),"Европейский берег2_ГП-2")</f>
        <v>Европейский берег2_ГП-2</v>
      </c>
      <c r="B47" s="168" t="str">
        <f>IFERROR(__xludf.DUMMYFUNCTION("""COMPUTED_VALUE"""),"Европейский берег2")</f>
        <v>Европейский берег2</v>
      </c>
      <c r="C47" s="168" t="str">
        <f>IFERROR(__xludf.DUMMYFUNCTION("""COMPUTED_VALUE"""),"ГП-2")</f>
        <v>ГП-2</v>
      </c>
      <c r="D47" s="168" t="str">
        <f>IFERROR(__xludf.DUMMYFUNCTION("""COMPUTED_VALUE"""),"ГП")</f>
        <v>ГП</v>
      </c>
      <c r="E47" s="168">
        <f>IFERROR(__xludf.DUMMYFUNCTION("""COMPUTED_VALUE"""),2.0)</f>
        <v>2</v>
      </c>
      <c r="F47" s="168" t="str">
        <f>IFERROR(__xludf.DUMMYFUNCTION("""COMPUTED_VALUE"""),"🏠")</f>
        <v>🏠</v>
      </c>
      <c r="G47" s="168" t="str">
        <f>IFERROR(__xludf.DUMMYFUNCTION("""COMPUTED_VALUE"""),"Тюмень")</f>
        <v>Тюмень</v>
      </c>
      <c r="H47" s="168" t="str">
        <f>IFERROR(__xludf.DUMMYFUNCTION("""COMPUTED_VALUE"""),"Комфорт")</f>
        <v>Комфорт</v>
      </c>
      <c r="I47" s="168" t="str">
        <f>IFERROR(__xludf.DUMMYFUNCTION("""COMPUTED_VALUE"""),"Тюмень")</f>
        <v>Тюмень</v>
      </c>
      <c r="J47" s="170">
        <f>IFERROR(__xludf.DUMMYFUNCTION("""COMPUTED_VALUE"""),44988.0)</f>
        <v>44988</v>
      </c>
      <c r="K47" s="168">
        <f>IFERROR(__xludf.DUMMYFUNCTION("""COMPUTED_VALUE"""),35044.752)</f>
        <v>35044.752</v>
      </c>
      <c r="L47" s="171" t="str">
        <f>IFERROR(__xludf.DUMMYFUNCTION("""COMPUTED_VALUE"""),"В работе")</f>
        <v>В работе</v>
      </c>
      <c r="M47" s="172">
        <f>IFERROR(__xludf.DUMMYFUNCTION("""COMPUTED_VALUE"""),100000.0)</f>
        <v>100000</v>
      </c>
      <c r="P47" s="168"/>
      <c r="Q47" s="168"/>
    </row>
    <row r="48">
      <c r="A48" s="168" t="str">
        <f>IFERROR(__xludf.DUMMYFUNCTION("""COMPUTED_VALUE"""),"Европейский берег2_ГП-3")</f>
        <v>Европейский берег2_ГП-3</v>
      </c>
      <c r="B48" s="168" t="str">
        <f>IFERROR(__xludf.DUMMYFUNCTION("""COMPUTED_VALUE"""),"Европейский берег2")</f>
        <v>Европейский берег2</v>
      </c>
      <c r="C48" s="168" t="str">
        <f>IFERROR(__xludf.DUMMYFUNCTION("""COMPUTED_VALUE"""),"ГП-3")</f>
        <v>ГП-3</v>
      </c>
      <c r="D48" s="168" t="str">
        <f>IFERROR(__xludf.DUMMYFUNCTION("""COMPUTED_VALUE"""),"ГП")</f>
        <v>ГП</v>
      </c>
      <c r="E48" s="168">
        <f>IFERROR(__xludf.DUMMYFUNCTION("""COMPUTED_VALUE"""),3.0)</f>
        <v>3</v>
      </c>
      <c r="F48" s="168" t="str">
        <f>IFERROR(__xludf.DUMMYFUNCTION("""COMPUTED_VALUE"""),"🏠")</f>
        <v>🏠</v>
      </c>
      <c r="G48" s="168" t="str">
        <f>IFERROR(__xludf.DUMMYFUNCTION("""COMPUTED_VALUE"""),"Тюмень")</f>
        <v>Тюмень</v>
      </c>
      <c r="H48" s="168" t="str">
        <f>IFERROR(__xludf.DUMMYFUNCTION("""COMPUTED_VALUE"""),"Комфорт")</f>
        <v>Комфорт</v>
      </c>
      <c r="I48" s="168" t="str">
        <f>IFERROR(__xludf.DUMMYFUNCTION("""COMPUTED_VALUE"""),"Тюмень")</f>
        <v>Тюмень</v>
      </c>
      <c r="J48" s="170">
        <f>IFERROR(__xludf.DUMMYFUNCTION("""COMPUTED_VALUE"""),44988.0)</f>
        <v>44988</v>
      </c>
      <c r="K48" s="168">
        <f>IFERROR(__xludf.DUMMYFUNCTION("""COMPUTED_VALUE"""),13431.514)</f>
        <v>13431.514</v>
      </c>
      <c r="L48" s="171" t="str">
        <f>IFERROR(__xludf.DUMMYFUNCTION("""COMPUTED_VALUE"""),"Новые")</f>
        <v>Новые</v>
      </c>
      <c r="M48" s="172">
        <f>IFERROR(__xludf.DUMMYFUNCTION("""COMPUTED_VALUE"""),100000.0)</f>
        <v>100000</v>
      </c>
      <c r="P48" s="168"/>
      <c r="Q48" s="168"/>
    </row>
    <row r="49">
      <c r="A49" s="168" t="str">
        <f>IFERROR(__xludf.DUMMYFUNCTION("""COMPUTED_VALUE"""),"Европейский берег2_ГП-5")</f>
        <v>Европейский берег2_ГП-5</v>
      </c>
      <c r="B49" s="168" t="str">
        <f>IFERROR(__xludf.DUMMYFUNCTION("""COMPUTED_VALUE"""),"Европейский берег2")</f>
        <v>Европейский берег2</v>
      </c>
      <c r="C49" s="168" t="str">
        <f>IFERROR(__xludf.DUMMYFUNCTION("""COMPUTED_VALUE"""),"ГП-5")</f>
        <v>ГП-5</v>
      </c>
      <c r="D49" s="168" t="str">
        <f>IFERROR(__xludf.DUMMYFUNCTION("""COMPUTED_VALUE"""),"ГП")</f>
        <v>ГП</v>
      </c>
      <c r="E49" s="168">
        <f>IFERROR(__xludf.DUMMYFUNCTION("""COMPUTED_VALUE"""),5.0)</f>
        <v>5</v>
      </c>
      <c r="F49" s="168" t="str">
        <f>IFERROR(__xludf.DUMMYFUNCTION("""COMPUTED_VALUE"""),"🏠")</f>
        <v>🏠</v>
      </c>
      <c r="G49" s="168" t="str">
        <f>IFERROR(__xludf.DUMMYFUNCTION("""COMPUTED_VALUE"""),"Тюмень")</f>
        <v>Тюмень</v>
      </c>
      <c r="H49" s="168" t="str">
        <f>IFERROR(__xludf.DUMMYFUNCTION("""COMPUTED_VALUE"""),"Комфорт")</f>
        <v>Комфорт</v>
      </c>
      <c r="I49" s="168" t="str">
        <f>IFERROR(__xludf.DUMMYFUNCTION("""COMPUTED_VALUE"""),"Тюмень")</f>
        <v>Тюмень</v>
      </c>
      <c r="J49" s="170">
        <f>IFERROR(__xludf.DUMMYFUNCTION("""COMPUTED_VALUE"""),44988.0)</f>
        <v>44988</v>
      </c>
      <c r="K49" s="168">
        <f>IFERROR(__xludf.DUMMYFUNCTION("""COMPUTED_VALUE"""),70718.966)</f>
        <v>70718.966</v>
      </c>
      <c r="L49" s="171" t="str">
        <f>IFERROR(__xludf.DUMMYFUNCTION("""COMPUTED_VALUE"""),"Новые")</f>
        <v>Новые</v>
      </c>
      <c r="M49" s="172">
        <f>IFERROR(__xludf.DUMMYFUNCTION("""COMPUTED_VALUE"""),100000.0)</f>
        <v>100000</v>
      </c>
      <c r="P49" s="168"/>
      <c r="Q49" s="168"/>
    </row>
    <row r="50">
      <c r="A50" s="168" t="str">
        <f>IFERROR(__xludf.DUMMYFUNCTION("""COMPUTED_VALUE"""),"Европейский берег2_ГП-7")</f>
        <v>Европейский берег2_ГП-7</v>
      </c>
      <c r="B50" s="168" t="str">
        <f>IFERROR(__xludf.DUMMYFUNCTION("""COMPUTED_VALUE"""),"Европейский берег2")</f>
        <v>Европейский берег2</v>
      </c>
      <c r="C50" s="168" t="str">
        <f>IFERROR(__xludf.DUMMYFUNCTION("""COMPUTED_VALUE"""),"ГП-7")</f>
        <v>ГП-7</v>
      </c>
      <c r="D50" s="168" t="str">
        <f>IFERROR(__xludf.DUMMYFUNCTION("""COMPUTED_VALUE"""),"ГП")</f>
        <v>ГП</v>
      </c>
      <c r="E50" s="168">
        <f>IFERROR(__xludf.DUMMYFUNCTION("""COMPUTED_VALUE"""),7.0)</f>
        <v>7</v>
      </c>
      <c r="F50" s="168" t="str">
        <f>IFERROR(__xludf.DUMMYFUNCTION("""COMPUTED_VALUE"""),"🏠")</f>
        <v>🏠</v>
      </c>
      <c r="G50" s="168" t="str">
        <f>IFERROR(__xludf.DUMMYFUNCTION("""COMPUTED_VALUE"""),"Тюмень")</f>
        <v>Тюмень</v>
      </c>
      <c r="H50" s="168" t="str">
        <f>IFERROR(__xludf.DUMMYFUNCTION("""COMPUTED_VALUE"""),"Комфорт")</f>
        <v>Комфорт</v>
      </c>
      <c r="I50" s="168" t="str">
        <f>IFERROR(__xludf.DUMMYFUNCTION("""COMPUTED_VALUE"""),"Тюмень")</f>
        <v>Тюмень</v>
      </c>
      <c r="J50" s="170">
        <f>IFERROR(__xludf.DUMMYFUNCTION("""COMPUTED_VALUE"""),44988.0)</f>
        <v>44988</v>
      </c>
      <c r="K50" s="168">
        <f>IFERROR(__xludf.DUMMYFUNCTION("""COMPUTED_VALUE"""),81795.44600000001)</f>
        <v>81795.446</v>
      </c>
      <c r="L50" s="171" t="str">
        <f>IFERROR(__xludf.DUMMYFUNCTION("""COMPUTED_VALUE"""),"Новые")</f>
        <v>Новые</v>
      </c>
      <c r="M50" s="172">
        <f>IFERROR(__xludf.DUMMYFUNCTION("""COMPUTED_VALUE"""),100000.0)</f>
        <v>100000</v>
      </c>
      <c r="P50" s="168"/>
      <c r="Q50" s="168"/>
    </row>
    <row r="51">
      <c r="A51" s="168" t="str">
        <f>IFERROR(__xludf.DUMMYFUNCTION("""COMPUTED_VALUE"""),"Европейский берег2_ГП-8")</f>
        <v>Европейский берег2_ГП-8</v>
      </c>
      <c r="B51" s="168" t="str">
        <f>IFERROR(__xludf.DUMMYFUNCTION("""COMPUTED_VALUE"""),"Европейский берег2")</f>
        <v>Европейский берег2</v>
      </c>
      <c r="C51" s="168" t="str">
        <f>IFERROR(__xludf.DUMMYFUNCTION("""COMPUTED_VALUE"""),"ГП-8")</f>
        <v>ГП-8</v>
      </c>
      <c r="D51" s="168" t="str">
        <f>IFERROR(__xludf.DUMMYFUNCTION("""COMPUTED_VALUE"""),"ГП")</f>
        <v>ГП</v>
      </c>
      <c r="E51" s="168">
        <f>IFERROR(__xludf.DUMMYFUNCTION("""COMPUTED_VALUE"""),8.0)</f>
        <v>8</v>
      </c>
      <c r="F51" s="168" t="str">
        <f>IFERROR(__xludf.DUMMYFUNCTION("""COMPUTED_VALUE"""),"🏠")</f>
        <v>🏠</v>
      </c>
      <c r="G51" s="168" t="str">
        <f>IFERROR(__xludf.DUMMYFUNCTION("""COMPUTED_VALUE"""),"Тюмень")</f>
        <v>Тюмень</v>
      </c>
      <c r="H51" s="168" t="str">
        <f>IFERROR(__xludf.DUMMYFUNCTION("""COMPUTED_VALUE"""),"Комфорт")</f>
        <v>Комфорт</v>
      </c>
      <c r="I51" s="168" t="str">
        <f>IFERROR(__xludf.DUMMYFUNCTION("""COMPUTED_VALUE"""),"Тюмень")</f>
        <v>Тюмень</v>
      </c>
      <c r="J51" s="170">
        <f>IFERROR(__xludf.DUMMYFUNCTION("""COMPUTED_VALUE"""),44988.0)</f>
        <v>44988</v>
      </c>
      <c r="K51" s="168">
        <f>IFERROR(__xludf.DUMMYFUNCTION("""COMPUTED_VALUE"""),41315.014)</f>
        <v>41315.014</v>
      </c>
      <c r="L51" s="171" t="str">
        <f>IFERROR(__xludf.DUMMYFUNCTION("""COMPUTED_VALUE"""),"Новые")</f>
        <v>Новые</v>
      </c>
      <c r="M51" s="172">
        <f>IFERROR(__xludf.DUMMYFUNCTION("""COMPUTED_VALUE"""),100000.0)</f>
        <v>100000</v>
      </c>
      <c r="P51" s="168"/>
      <c r="Q51" s="168"/>
    </row>
    <row r="52">
      <c r="A52" s="168" t="str">
        <f>IFERROR(__xludf.DUMMYFUNCTION("""COMPUTED_VALUE"""),"Европейский берег2_ГП-9")</f>
        <v>Европейский берег2_ГП-9</v>
      </c>
      <c r="B52" s="168" t="str">
        <f>IFERROR(__xludf.DUMMYFUNCTION("""COMPUTED_VALUE"""),"Европейский берег2")</f>
        <v>Европейский берег2</v>
      </c>
      <c r="C52" s="168" t="str">
        <f>IFERROR(__xludf.DUMMYFUNCTION("""COMPUTED_VALUE"""),"ГП-9")</f>
        <v>ГП-9</v>
      </c>
      <c r="D52" s="168" t="str">
        <f>IFERROR(__xludf.DUMMYFUNCTION("""COMPUTED_VALUE"""),"ГП")</f>
        <v>ГП</v>
      </c>
      <c r="E52" s="168">
        <f>IFERROR(__xludf.DUMMYFUNCTION("""COMPUTED_VALUE"""),9.0)</f>
        <v>9</v>
      </c>
      <c r="F52" s="168" t="str">
        <f>IFERROR(__xludf.DUMMYFUNCTION("""COMPUTED_VALUE"""),"🏠")</f>
        <v>🏠</v>
      </c>
      <c r="G52" s="168" t="str">
        <f>IFERROR(__xludf.DUMMYFUNCTION("""COMPUTED_VALUE"""),"Тюмень")</f>
        <v>Тюмень</v>
      </c>
      <c r="H52" s="168" t="str">
        <f>IFERROR(__xludf.DUMMYFUNCTION("""COMPUTED_VALUE"""),"Комфорт")</f>
        <v>Комфорт</v>
      </c>
      <c r="I52" s="168" t="str">
        <f>IFERROR(__xludf.DUMMYFUNCTION("""COMPUTED_VALUE"""),"Тюмень")</f>
        <v>Тюмень</v>
      </c>
      <c r="J52" s="170">
        <f>IFERROR(__xludf.DUMMYFUNCTION("""COMPUTED_VALUE"""),44988.0)</f>
        <v>44988</v>
      </c>
      <c r="K52" s="168">
        <f>IFERROR(__xludf.DUMMYFUNCTION("""COMPUTED_VALUE"""),46459.68)</f>
        <v>46459.68</v>
      </c>
      <c r="L52" s="171" t="str">
        <f>IFERROR(__xludf.DUMMYFUNCTION("""COMPUTED_VALUE"""),"Новые")</f>
        <v>Новые</v>
      </c>
      <c r="M52" s="172">
        <f>IFERROR(__xludf.DUMMYFUNCTION("""COMPUTED_VALUE"""),100000.0)</f>
        <v>100000</v>
      </c>
      <c r="P52" s="168"/>
      <c r="Q52" s="168"/>
    </row>
    <row r="53">
      <c r="A53" s="168" t="str">
        <f>IFERROR(__xludf.DUMMYFUNCTION("""COMPUTED_VALUE"""),"Европейский берег2_ГП-10")</f>
        <v>Европейский берег2_ГП-10</v>
      </c>
      <c r="B53" s="168" t="str">
        <f>IFERROR(__xludf.DUMMYFUNCTION("""COMPUTED_VALUE"""),"Европейский берег2")</f>
        <v>Европейский берег2</v>
      </c>
      <c r="C53" s="168" t="str">
        <f>IFERROR(__xludf.DUMMYFUNCTION("""COMPUTED_VALUE"""),"ГП-10")</f>
        <v>ГП-10</v>
      </c>
      <c r="D53" s="168" t="str">
        <f>IFERROR(__xludf.DUMMYFUNCTION("""COMPUTED_VALUE"""),"ГП")</f>
        <v>ГП</v>
      </c>
      <c r="E53" s="168">
        <f>IFERROR(__xludf.DUMMYFUNCTION("""COMPUTED_VALUE"""),10.0)</f>
        <v>10</v>
      </c>
      <c r="F53" s="168" t="str">
        <f>IFERROR(__xludf.DUMMYFUNCTION("""COMPUTED_VALUE"""),"🏠")</f>
        <v>🏠</v>
      </c>
      <c r="G53" s="168" t="str">
        <f>IFERROR(__xludf.DUMMYFUNCTION("""COMPUTED_VALUE"""),"Тюмень")</f>
        <v>Тюмень</v>
      </c>
      <c r="H53" s="168" t="str">
        <f>IFERROR(__xludf.DUMMYFUNCTION("""COMPUTED_VALUE"""),"Комфорт")</f>
        <v>Комфорт</v>
      </c>
      <c r="I53" s="168" t="str">
        <f>IFERROR(__xludf.DUMMYFUNCTION("""COMPUTED_VALUE"""),"Тюмень")</f>
        <v>Тюмень</v>
      </c>
      <c r="J53" s="170">
        <f>IFERROR(__xludf.DUMMYFUNCTION("""COMPUTED_VALUE"""),44988.0)</f>
        <v>44988</v>
      </c>
      <c r="K53" s="168">
        <f>IFERROR(__xludf.DUMMYFUNCTION("""COMPUTED_VALUE"""),24424.664)</f>
        <v>24424.664</v>
      </c>
      <c r="L53" s="171" t="str">
        <f>IFERROR(__xludf.DUMMYFUNCTION("""COMPUTED_VALUE"""),"Новые")</f>
        <v>Новые</v>
      </c>
      <c r="M53" s="172">
        <f>IFERROR(__xludf.DUMMYFUNCTION("""COMPUTED_VALUE"""),100000.0)</f>
        <v>100000</v>
      </c>
      <c r="P53" s="168"/>
      <c r="Q53" s="168"/>
    </row>
    <row r="54">
      <c r="A54" s="168" t="str">
        <f>IFERROR(__xludf.DUMMYFUNCTION("""COMPUTED_VALUE"""),"Европейский берег2_ГП-6")</f>
        <v>Европейский берег2_ГП-6</v>
      </c>
      <c r="B54" s="168" t="str">
        <f>IFERROR(__xludf.DUMMYFUNCTION("""COMPUTED_VALUE"""),"Европейский берег2")</f>
        <v>Европейский берег2</v>
      </c>
      <c r="C54" s="168" t="str">
        <f>IFERROR(__xludf.DUMMYFUNCTION("""COMPUTED_VALUE"""),"ГП-6")</f>
        <v>ГП-6</v>
      </c>
      <c r="D54" s="168" t="str">
        <f>IFERROR(__xludf.DUMMYFUNCTION("""COMPUTED_VALUE"""),"ГП")</f>
        <v>ГП</v>
      </c>
      <c r="E54" s="168">
        <f>IFERROR(__xludf.DUMMYFUNCTION("""COMPUTED_VALUE"""),6.0)</f>
        <v>6</v>
      </c>
      <c r="F54" s="168" t="str">
        <f>IFERROR(__xludf.DUMMYFUNCTION("""COMPUTED_VALUE"""),"🏠")</f>
        <v>🏠</v>
      </c>
      <c r="G54" s="168" t="str">
        <f>IFERROR(__xludf.DUMMYFUNCTION("""COMPUTED_VALUE"""),"Тюмень")</f>
        <v>Тюмень</v>
      </c>
      <c r="H54" s="168" t="str">
        <f>IFERROR(__xludf.DUMMYFUNCTION("""COMPUTED_VALUE"""),"Комфорт")</f>
        <v>Комфорт</v>
      </c>
      <c r="I54" s="168" t="str">
        <f>IFERROR(__xludf.DUMMYFUNCTION("""COMPUTED_VALUE"""),"Тюмень")</f>
        <v>Тюмень</v>
      </c>
      <c r="J54" s="170">
        <f>IFERROR(__xludf.DUMMYFUNCTION("""COMPUTED_VALUE"""),44988.0)</f>
        <v>44988</v>
      </c>
      <c r="K54" s="168">
        <f>IFERROR(__xludf.DUMMYFUNCTION("""COMPUTED_VALUE"""),42006.012)</f>
        <v>42006.012</v>
      </c>
      <c r="L54" s="171" t="str">
        <f>IFERROR(__xludf.DUMMYFUNCTION("""COMPUTED_VALUE"""),"Новые")</f>
        <v>Новые</v>
      </c>
      <c r="M54" s="172">
        <f>IFERROR(__xludf.DUMMYFUNCTION("""COMPUTED_VALUE"""),100000.0)</f>
        <v>100000</v>
      </c>
      <c r="P54" s="168"/>
      <c r="Q54" s="168"/>
    </row>
    <row r="55">
      <c r="A55" s="168" t="str">
        <f>IFERROR(__xludf.DUMMYFUNCTION("""COMPUTED_VALUE"""),"Европейский берег2_ГП-4")</f>
        <v>Европейский берег2_ГП-4</v>
      </c>
      <c r="B55" s="168" t="str">
        <f>IFERROR(__xludf.DUMMYFUNCTION("""COMPUTED_VALUE"""),"Европейский берег2")</f>
        <v>Европейский берег2</v>
      </c>
      <c r="C55" s="168" t="str">
        <f>IFERROR(__xludf.DUMMYFUNCTION("""COMPUTED_VALUE"""),"ГП-4")</f>
        <v>ГП-4</v>
      </c>
      <c r="D55" s="168" t="str">
        <f>IFERROR(__xludf.DUMMYFUNCTION("""COMPUTED_VALUE"""),"ГП")</f>
        <v>ГП</v>
      </c>
      <c r="E55" s="168">
        <f>IFERROR(__xludf.DUMMYFUNCTION("""COMPUTED_VALUE"""),4.0)</f>
        <v>4</v>
      </c>
      <c r="F55" s="168" t="str">
        <f>IFERROR(__xludf.DUMMYFUNCTION("""COMPUTED_VALUE"""),"🏠")</f>
        <v>🏠</v>
      </c>
      <c r="G55" s="168" t="str">
        <f>IFERROR(__xludf.DUMMYFUNCTION("""COMPUTED_VALUE"""),"Тюмень")</f>
        <v>Тюмень</v>
      </c>
      <c r="H55" s="168" t="str">
        <f>IFERROR(__xludf.DUMMYFUNCTION("""COMPUTED_VALUE"""),"Комфорт")</f>
        <v>Комфорт</v>
      </c>
      <c r="I55" s="168" t="str">
        <f>IFERROR(__xludf.DUMMYFUNCTION("""COMPUTED_VALUE"""),"Тюмень")</f>
        <v>Тюмень</v>
      </c>
      <c r="J55" s="170">
        <f>IFERROR(__xludf.DUMMYFUNCTION("""COMPUTED_VALUE"""),44988.0)</f>
        <v>44988</v>
      </c>
      <c r="K55" s="168">
        <f>IFERROR(__xludf.DUMMYFUNCTION("""COMPUTED_VALUE"""),27792.478)</f>
        <v>27792.478</v>
      </c>
      <c r="L55" s="171" t="str">
        <f>IFERROR(__xludf.DUMMYFUNCTION("""COMPUTED_VALUE"""),"Новые")</f>
        <v>Новые</v>
      </c>
      <c r="M55" s="172">
        <f>IFERROR(__xludf.DUMMYFUNCTION("""COMPUTED_VALUE"""),100000.0)</f>
        <v>100000</v>
      </c>
      <c r="P55" s="168"/>
      <c r="Q55" s="168"/>
    </row>
    <row r="56">
      <c r="A56" s="168" t="str">
        <f>IFERROR(__xludf.DUMMYFUNCTION("""COMPUTED_VALUE"""),"Европейский берег2_Офисное")</f>
        <v>Европейский берег2_Офисное</v>
      </c>
      <c r="B56" s="168" t="str">
        <f>IFERROR(__xludf.DUMMYFUNCTION("""COMPUTED_VALUE"""),"Европейский берег2")</f>
        <v>Европейский берег2</v>
      </c>
      <c r="C56" s="168" t="str">
        <f>IFERROR(__xludf.DUMMYFUNCTION("""COMPUTED_VALUE"""),"Офисное")</f>
        <v>Офисное</v>
      </c>
      <c r="D56" s="168" t="str">
        <f>IFERROR(__xludf.DUMMYFUNCTION("""COMPUTED_VALUE"""),"Офисное")</f>
        <v>Офисное</v>
      </c>
      <c r="E56" s="168"/>
      <c r="F56" s="168" t="str">
        <f>IFERROR(__xludf.DUMMYFUNCTION("""COMPUTED_VALUE"""),"💼")</f>
        <v>💼</v>
      </c>
      <c r="G56" s="168" t="str">
        <f>IFERROR(__xludf.DUMMYFUNCTION("""COMPUTED_VALUE"""),"Тюмень")</f>
        <v>Тюмень</v>
      </c>
      <c r="H56" s="168" t="str">
        <f>IFERROR(__xludf.DUMMYFUNCTION("""COMPUTED_VALUE"""),"#N/A")</f>
        <v>#N/A</v>
      </c>
      <c r="I56" s="168" t="str">
        <f>IFERROR(__xludf.DUMMYFUNCTION("""COMPUTED_VALUE"""),"#N/A")</f>
        <v>#N/A</v>
      </c>
      <c r="J56" s="170">
        <f>IFERROR(__xludf.DUMMYFUNCTION("""COMPUTED_VALUE"""),45006.0)</f>
        <v>45006</v>
      </c>
      <c r="K56" s="168"/>
      <c r="L56" s="168" t="str">
        <f>IFERROR(__xludf.DUMMYFUNCTION("""COMPUTED_VALUE"""),"#N/A")</f>
        <v>#N/A</v>
      </c>
      <c r="M56" s="172">
        <f>IFERROR(__xludf.DUMMYFUNCTION("""COMPUTED_VALUE"""),100000.0)</f>
        <v>100000</v>
      </c>
      <c r="P56" s="168"/>
      <c r="Q56" s="168"/>
    </row>
    <row r="57">
      <c r="A57" s="168" t="str">
        <f>IFERROR(__xludf.DUMMYFUNCTION("""COMPUTED_VALUE"""),"Звездный городок_ГП-15 (Котельная)")</f>
        <v>Звездный городок_ГП-15 (Котельная)</v>
      </c>
      <c r="B57" s="168" t="str">
        <f>IFERROR(__xludf.DUMMYFUNCTION("""COMPUTED_VALUE"""),"Звездный городок")</f>
        <v>Звездный городок</v>
      </c>
      <c r="C57" s="168" t="str">
        <f>IFERROR(__xludf.DUMMYFUNCTION("""COMPUTED_VALUE"""),"ГП-15 (Котельная)")</f>
        <v>ГП-15 (Котельная)</v>
      </c>
      <c r="D57" s="168" t="str">
        <f>IFERROR(__xludf.DUMMYFUNCTION("""COMPUTED_VALUE"""),"ГП")</f>
        <v>ГП</v>
      </c>
      <c r="E57" s="168" t="str">
        <f>IFERROR(__xludf.DUMMYFUNCTION("""COMPUTED_VALUE"""),"15 (Котельная)")</f>
        <v>15 (Котельная)</v>
      </c>
      <c r="F57" s="168" t="str">
        <f>IFERROR(__xludf.DUMMYFUNCTION("""COMPUTED_VALUE"""),"🏭")</f>
        <v>🏭</v>
      </c>
      <c r="G57" s="170" t="str">
        <f>IFERROR(__xludf.DUMMYFUNCTION("""COMPUTED_VALUE"""),"Тюмень")</f>
        <v>Тюмень</v>
      </c>
      <c r="H57" s="168"/>
      <c r="I57" s="168" t="str">
        <f>IFERROR(__xludf.DUMMYFUNCTION("""COMPUTED_VALUE"""),"Внешний")</f>
        <v>Внешний</v>
      </c>
      <c r="J57" s="170">
        <f>IFERROR(__xludf.DUMMYFUNCTION("""COMPUTED_VALUE"""),44988.0)</f>
        <v>44988</v>
      </c>
      <c r="K57" s="168"/>
      <c r="L57" s="168" t="str">
        <f>IFERROR(__xludf.DUMMYFUNCTION("""COMPUTED_VALUE"""),"#N/A")</f>
        <v>#N/A</v>
      </c>
      <c r="M57" s="172">
        <f>IFERROR(__xludf.DUMMYFUNCTION("""COMPUTED_VALUE"""),100000.0)</f>
        <v>100000</v>
      </c>
      <c r="P57" s="168"/>
      <c r="Q57" s="168"/>
    </row>
    <row r="58">
      <c r="A58" s="168" t="str">
        <f>IFERROR(__xludf.DUMMYFUNCTION("""COMPUTED_VALUE"""),"Звездный городок_ГП-2")</f>
        <v>Звездный городок_ГП-2</v>
      </c>
      <c r="B58" s="168" t="str">
        <f>IFERROR(__xludf.DUMMYFUNCTION("""COMPUTED_VALUE"""),"Звездный городок")</f>
        <v>Звездный городок</v>
      </c>
      <c r="C58" s="168" t="str">
        <f>IFERROR(__xludf.DUMMYFUNCTION("""COMPUTED_VALUE"""),"ГП-2")</f>
        <v>ГП-2</v>
      </c>
      <c r="D58" s="168" t="str">
        <f>IFERROR(__xludf.DUMMYFUNCTION("""COMPUTED_VALUE"""),"ГП")</f>
        <v>ГП</v>
      </c>
      <c r="E58" s="168">
        <f>IFERROR(__xludf.DUMMYFUNCTION("""COMPUTED_VALUE"""),2.0)</f>
        <v>2</v>
      </c>
      <c r="F58" s="168" t="str">
        <f>IFERROR(__xludf.DUMMYFUNCTION("""COMPUTED_VALUE"""),"🚗")</f>
        <v>🚗</v>
      </c>
      <c r="G58" s="170" t="str">
        <f>IFERROR(__xludf.DUMMYFUNCTION("""COMPUTED_VALUE"""),"Тюмень")</f>
        <v>Тюмень</v>
      </c>
      <c r="H58" s="168"/>
      <c r="I58" s="168" t="str">
        <f>IFERROR(__xludf.DUMMYFUNCTION("""COMPUTED_VALUE"""),"Тюмень")</f>
        <v>Тюмень</v>
      </c>
      <c r="J58" s="170">
        <f>IFERROR(__xludf.DUMMYFUNCTION("""COMPUTED_VALUE"""),44988.0)</f>
        <v>44988</v>
      </c>
      <c r="K58" s="168">
        <f>IFERROR(__xludf.DUMMYFUNCTION("""COMPUTED_VALUE"""),16125.0)</f>
        <v>16125</v>
      </c>
      <c r="L58" s="168" t="str">
        <f>IFERROR(__xludf.DUMMYFUNCTION("""COMPUTED_VALUE"""),"#N/A")</f>
        <v>#N/A</v>
      </c>
      <c r="M58" s="172">
        <f>IFERROR(__xludf.DUMMYFUNCTION("""COMPUTED_VALUE"""),100000.0)</f>
        <v>100000</v>
      </c>
      <c r="P58" s="168"/>
      <c r="Q58" s="168"/>
    </row>
    <row r="59">
      <c r="A59" s="168" t="str">
        <f>IFERROR(__xludf.DUMMYFUNCTION("""COMPUTED_VALUE"""),"Звездный городок_ГП-3")</f>
        <v>Звездный городок_ГП-3</v>
      </c>
      <c r="B59" s="168" t="str">
        <f>IFERROR(__xludf.DUMMYFUNCTION("""COMPUTED_VALUE"""),"Звездный городок")</f>
        <v>Звездный городок</v>
      </c>
      <c r="C59" s="168" t="str">
        <f>IFERROR(__xludf.DUMMYFUNCTION("""COMPUTED_VALUE"""),"ГП-3")</f>
        <v>ГП-3</v>
      </c>
      <c r="D59" s="168" t="str">
        <f>IFERROR(__xludf.DUMMYFUNCTION("""COMPUTED_VALUE"""),"ГП")</f>
        <v>ГП</v>
      </c>
      <c r="E59" s="168">
        <f>IFERROR(__xludf.DUMMYFUNCTION("""COMPUTED_VALUE"""),3.0)</f>
        <v>3</v>
      </c>
      <c r="F59" s="168" t="str">
        <f>IFERROR(__xludf.DUMMYFUNCTION("""COMPUTED_VALUE"""),"🚗")</f>
        <v>🚗</v>
      </c>
      <c r="G59" s="170" t="str">
        <f>IFERROR(__xludf.DUMMYFUNCTION("""COMPUTED_VALUE"""),"Тюмень")</f>
        <v>Тюмень</v>
      </c>
      <c r="H59" s="168"/>
      <c r="I59" s="168" t="str">
        <f>IFERROR(__xludf.DUMMYFUNCTION("""COMPUTED_VALUE"""),"Тюмень")</f>
        <v>Тюмень</v>
      </c>
      <c r="J59" s="170">
        <f>IFERROR(__xludf.DUMMYFUNCTION("""COMPUTED_VALUE"""),44988.0)</f>
        <v>44988</v>
      </c>
      <c r="K59" s="168">
        <f>IFERROR(__xludf.DUMMYFUNCTION("""COMPUTED_VALUE"""),16820.0)</f>
        <v>16820</v>
      </c>
      <c r="L59" s="168" t="str">
        <f>IFERROR(__xludf.DUMMYFUNCTION("""COMPUTED_VALUE"""),"#N/A")</f>
        <v>#N/A</v>
      </c>
      <c r="M59" s="172">
        <f>IFERROR(__xludf.DUMMYFUNCTION("""COMPUTED_VALUE"""),100000.0)</f>
        <v>100000</v>
      </c>
      <c r="P59" s="168"/>
      <c r="Q59" s="168"/>
    </row>
    <row r="60">
      <c r="A60" s="168" t="str">
        <f>IFERROR(__xludf.DUMMYFUNCTION("""COMPUTED_VALUE"""),"Звездный городок_ГП-4")</f>
        <v>Звездный городок_ГП-4</v>
      </c>
      <c r="B60" s="168" t="str">
        <f>IFERROR(__xludf.DUMMYFUNCTION("""COMPUTED_VALUE"""),"Звездный городок")</f>
        <v>Звездный городок</v>
      </c>
      <c r="C60" s="168" t="str">
        <f>IFERROR(__xludf.DUMMYFUNCTION("""COMPUTED_VALUE"""),"ГП-4")</f>
        <v>ГП-4</v>
      </c>
      <c r="D60" s="168" t="str">
        <f>IFERROR(__xludf.DUMMYFUNCTION("""COMPUTED_VALUE"""),"ГП")</f>
        <v>ГП</v>
      </c>
      <c r="E60" s="168">
        <f>IFERROR(__xludf.DUMMYFUNCTION("""COMPUTED_VALUE"""),4.0)</f>
        <v>4</v>
      </c>
      <c r="F60" s="168" t="str">
        <f>IFERROR(__xludf.DUMMYFUNCTION("""COMPUTED_VALUE"""),"🏠")</f>
        <v>🏠</v>
      </c>
      <c r="G60" s="170" t="str">
        <f>IFERROR(__xludf.DUMMYFUNCTION("""COMPUTED_VALUE"""),"Тюмень")</f>
        <v>Тюмень</v>
      </c>
      <c r="H60" s="168" t="str">
        <f>IFERROR(__xludf.DUMMYFUNCTION("""COMPUTED_VALUE"""),"Стандарт")</f>
        <v>Стандарт</v>
      </c>
      <c r="I60" s="168" t="str">
        <f>IFERROR(__xludf.DUMMYFUNCTION("""COMPUTED_VALUE"""),"Тюмень")</f>
        <v>Тюмень</v>
      </c>
      <c r="J60" s="170">
        <f>IFERROR(__xludf.DUMMYFUNCTION("""COMPUTED_VALUE"""),44951.0)</f>
        <v>44951</v>
      </c>
      <c r="K60" s="168">
        <f>IFERROR(__xludf.DUMMYFUNCTION("""COMPUTED_VALUE"""),28644.0)</f>
        <v>28644</v>
      </c>
      <c r="L60" s="171" t="str">
        <f>IFERROR(__xludf.DUMMYFUNCTION("""COMPUTED_VALUE"""),"Построен")</f>
        <v>Построен</v>
      </c>
      <c r="M60" s="172">
        <f>IFERROR(__xludf.DUMMYFUNCTION("""COMPUTED_VALUE"""),100000.0)</f>
        <v>100000</v>
      </c>
      <c r="P60" s="168"/>
      <c r="Q60" s="168"/>
    </row>
    <row r="61">
      <c r="A61" s="168" t="str">
        <f>IFERROR(__xludf.DUMMYFUNCTION("""COMPUTED_VALUE"""),"Звездный городок_ГП-5")</f>
        <v>Звездный городок_ГП-5</v>
      </c>
      <c r="B61" s="168" t="str">
        <f>IFERROR(__xludf.DUMMYFUNCTION("""COMPUTED_VALUE"""),"Звездный городок")</f>
        <v>Звездный городок</v>
      </c>
      <c r="C61" s="168" t="str">
        <f>IFERROR(__xludf.DUMMYFUNCTION("""COMPUTED_VALUE"""),"ГП-5")</f>
        <v>ГП-5</v>
      </c>
      <c r="D61" s="168" t="str">
        <f>IFERROR(__xludf.DUMMYFUNCTION("""COMPUTED_VALUE"""),"ГП")</f>
        <v>ГП</v>
      </c>
      <c r="E61" s="168">
        <f>IFERROR(__xludf.DUMMYFUNCTION("""COMPUTED_VALUE"""),5.0)</f>
        <v>5</v>
      </c>
      <c r="F61" s="168" t="str">
        <f>IFERROR(__xludf.DUMMYFUNCTION("""COMPUTED_VALUE"""),"🏠")</f>
        <v>🏠</v>
      </c>
      <c r="G61" s="170" t="str">
        <f>IFERROR(__xludf.DUMMYFUNCTION("""COMPUTED_VALUE"""),"Тюмень")</f>
        <v>Тюмень</v>
      </c>
      <c r="H61" s="168" t="str">
        <f>IFERROR(__xludf.DUMMYFUNCTION("""COMPUTED_VALUE"""),"Стандарт")</f>
        <v>Стандарт</v>
      </c>
      <c r="I61" s="168" t="str">
        <f>IFERROR(__xludf.DUMMYFUNCTION("""COMPUTED_VALUE"""),"Тюмень")</f>
        <v>Тюмень</v>
      </c>
      <c r="J61" s="170">
        <f>IFERROR(__xludf.DUMMYFUNCTION("""COMPUTED_VALUE"""),44951.0)</f>
        <v>44951</v>
      </c>
      <c r="K61" s="168">
        <f>IFERROR(__xludf.DUMMYFUNCTION("""COMPUTED_VALUE"""),28588.0)</f>
        <v>28588</v>
      </c>
      <c r="L61" s="171" t="str">
        <f>IFERROR(__xludf.DUMMYFUNCTION("""COMPUTED_VALUE"""),"Построен")</f>
        <v>Построен</v>
      </c>
      <c r="M61" s="172">
        <f>IFERROR(__xludf.DUMMYFUNCTION("""COMPUTED_VALUE"""),100000.0)</f>
        <v>100000</v>
      </c>
      <c r="P61" s="168"/>
      <c r="Q61" s="168"/>
    </row>
    <row r="62">
      <c r="A62" s="168" t="str">
        <f>IFERROR(__xludf.DUMMYFUNCTION("""COMPUTED_VALUE"""),"Звездный городок_ГП-6")</f>
        <v>Звездный городок_ГП-6</v>
      </c>
      <c r="B62" s="168" t="str">
        <f>IFERROR(__xludf.DUMMYFUNCTION("""COMPUTED_VALUE"""),"Звездный городок")</f>
        <v>Звездный городок</v>
      </c>
      <c r="C62" s="168" t="str">
        <f>IFERROR(__xludf.DUMMYFUNCTION("""COMPUTED_VALUE"""),"ГП-6")</f>
        <v>ГП-6</v>
      </c>
      <c r="D62" s="168" t="str">
        <f>IFERROR(__xludf.DUMMYFUNCTION("""COMPUTED_VALUE"""),"ГП")</f>
        <v>ГП</v>
      </c>
      <c r="E62" s="168">
        <f>IFERROR(__xludf.DUMMYFUNCTION("""COMPUTED_VALUE"""),6.0)</f>
        <v>6</v>
      </c>
      <c r="F62" s="168" t="str">
        <f>IFERROR(__xludf.DUMMYFUNCTION("""COMPUTED_VALUE"""),"🏠")</f>
        <v>🏠</v>
      </c>
      <c r="G62" s="170" t="str">
        <f>IFERROR(__xludf.DUMMYFUNCTION("""COMPUTED_VALUE"""),"Тюмень")</f>
        <v>Тюмень</v>
      </c>
      <c r="H62" s="168" t="str">
        <f>IFERROR(__xludf.DUMMYFUNCTION("""COMPUTED_VALUE"""),"Стандарт")</f>
        <v>Стандарт</v>
      </c>
      <c r="I62" s="168" t="str">
        <f>IFERROR(__xludf.DUMMYFUNCTION("""COMPUTED_VALUE"""),"Тюмень")</f>
        <v>Тюмень</v>
      </c>
      <c r="J62" s="170">
        <f>IFERROR(__xludf.DUMMYFUNCTION("""COMPUTED_VALUE"""),44951.0)</f>
        <v>44951</v>
      </c>
      <c r="K62" s="168">
        <f>IFERROR(__xludf.DUMMYFUNCTION("""COMPUTED_VALUE"""),34158.0)</f>
        <v>34158</v>
      </c>
      <c r="L62" s="171" t="str">
        <f>IFERROR(__xludf.DUMMYFUNCTION("""COMPUTED_VALUE"""),"Построен")</f>
        <v>Построен</v>
      </c>
      <c r="M62" s="172">
        <f>IFERROR(__xludf.DUMMYFUNCTION("""COMPUTED_VALUE"""),100000.0)</f>
        <v>100000</v>
      </c>
      <c r="P62" s="168"/>
      <c r="Q62" s="168"/>
    </row>
    <row r="63">
      <c r="A63" s="168" t="str">
        <f>IFERROR(__xludf.DUMMYFUNCTION("""COMPUTED_VALUE"""),"Звездный городок_ГП-7 (переход в Сити-молл)")</f>
        <v>Звездный городок_ГП-7 (переход в Сити-молл)</v>
      </c>
      <c r="B63" s="168" t="str">
        <f>IFERROR(__xludf.DUMMYFUNCTION("""COMPUTED_VALUE"""),"Звездный городок")</f>
        <v>Звездный городок</v>
      </c>
      <c r="C63" s="168" t="str">
        <f>IFERROR(__xludf.DUMMYFUNCTION("""COMPUTED_VALUE"""),"ГП-7 (переход в Сити-молл)")</f>
        <v>ГП-7 (переход в Сити-молл)</v>
      </c>
      <c r="D63" s="168" t="str">
        <f>IFERROR(__xludf.DUMMYFUNCTION("""COMPUTED_VALUE"""),"#REF!")</f>
        <v>#REF!</v>
      </c>
      <c r="E63" s="168"/>
      <c r="F63" s="168" t="str">
        <f>IFERROR(__xludf.DUMMYFUNCTION("""COMPUTED_VALUE"""),"➖")</f>
        <v>➖</v>
      </c>
      <c r="G63" s="170" t="str">
        <f>IFERROR(__xludf.DUMMYFUNCTION("""COMPUTED_VALUE"""),"Тюмень")</f>
        <v>Тюмень</v>
      </c>
      <c r="H63" s="168"/>
      <c r="I63" s="168" t="str">
        <f>IFERROR(__xludf.DUMMYFUNCTION("""COMPUTED_VALUE"""),"Тюмень")</f>
        <v>Тюмень</v>
      </c>
      <c r="J63" s="170">
        <f>IFERROR(__xludf.DUMMYFUNCTION("""COMPUTED_VALUE"""),44988.0)</f>
        <v>44988</v>
      </c>
      <c r="K63" s="168"/>
      <c r="L63" s="168" t="str">
        <f>IFERROR(__xludf.DUMMYFUNCTION("""COMPUTED_VALUE"""),"#N/A")</f>
        <v>#N/A</v>
      </c>
      <c r="M63" s="172">
        <f>IFERROR(__xludf.DUMMYFUNCTION("""COMPUTED_VALUE"""),100000.0)</f>
        <v>100000</v>
      </c>
      <c r="P63" s="168"/>
      <c r="Q63" s="168"/>
    </row>
    <row r="64">
      <c r="A64" s="168" t="str">
        <f>IFERROR(__xludf.DUMMYFUNCTION("""COMPUTED_VALUE"""),"Звездный городок_ГП-7")</f>
        <v>Звездный городок_ГП-7</v>
      </c>
      <c r="B64" s="168" t="str">
        <f>IFERROR(__xludf.DUMMYFUNCTION("""COMPUTED_VALUE"""),"Звездный городок")</f>
        <v>Звездный городок</v>
      </c>
      <c r="C64" s="168" t="str">
        <f>IFERROR(__xludf.DUMMYFUNCTION("""COMPUTED_VALUE"""),"ГП-7")</f>
        <v>ГП-7</v>
      </c>
      <c r="D64" s="168" t="str">
        <f>IFERROR(__xludf.DUMMYFUNCTION("""COMPUTED_VALUE"""),"ГП")</f>
        <v>ГП</v>
      </c>
      <c r="E64" s="168">
        <f>IFERROR(__xludf.DUMMYFUNCTION("""COMPUTED_VALUE"""),7.0)</f>
        <v>7</v>
      </c>
      <c r="F64" s="168" t="str">
        <f>IFERROR(__xludf.DUMMYFUNCTION("""COMPUTED_VALUE"""),"🚗")</f>
        <v>🚗</v>
      </c>
      <c r="G64" s="170" t="str">
        <f>IFERROR(__xludf.DUMMYFUNCTION("""COMPUTED_VALUE"""),"Тюмень")</f>
        <v>Тюмень</v>
      </c>
      <c r="H64" s="168"/>
      <c r="I64" s="168" t="str">
        <f>IFERROR(__xludf.DUMMYFUNCTION("""COMPUTED_VALUE"""),"Тюмень")</f>
        <v>Тюмень</v>
      </c>
      <c r="J64" s="170">
        <f>IFERROR(__xludf.DUMMYFUNCTION("""COMPUTED_VALUE"""),44988.0)</f>
        <v>44988</v>
      </c>
      <c r="K64" s="168">
        <f>IFERROR(__xludf.DUMMYFUNCTION("""COMPUTED_VALUE"""),21486.0)</f>
        <v>21486</v>
      </c>
      <c r="L64" s="168" t="str">
        <f>IFERROR(__xludf.DUMMYFUNCTION("""COMPUTED_VALUE"""),"#N/A")</f>
        <v>#N/A</v>
      </c>
      <c r="M64" s="172">
        <f>IFERROR(__xludf.DUMMYFUNCTION("""COMPUTED_VALUE"""),100000.0)</f>
        <v>100000</v>
      </c>
      <c r="P64" s="168"/>
      <c r="Q64" s="168"/>
    </row>
    <row r="65">
      <c r="A65" s="168" t="str">
        <f>IFERROR(__xludf.DUMMYFUNCTION("""COMPUTED_VALUE"""),"Звездный городок_ГП-8")</f>
        <v>Звездный городок_ГП-8</v>
      </c>
      <c r="B65" s="168" t="str">
        <f>IFERROR(__xludf.DUMMYFUNCTION("""COMPUTED_VALUE"""),"Звездный городок")</f>
        <v>Звездный городок</v>
      </c>
      <c r="C65" s="168" t="str">
        <f>IFERROR(__xludf.DUMMYFUNCTION("""COMPUTED_VALUE"""),"ГП-8")</f>
        <v>ГП-8</v>
      </c>
      <c r="D65" s="168" t="str">
        <f>IFERROR(__xludf.DUMMYFUNCTION("""COMPUTED_VALUE"""),"ГП")</f>
        <v>ГП</v>
      </c>
      <c r="E65" s="168">
        <f>IFERROR(__xludf.DUMMYFUNCTION("""COMPUTED_VALUE"""),8.0)</f>
        <v>8</v>
      </c>
      <c r="F65" s="168" t="str">
        <f>IFERROR(__xludf.DUMMYFUNCTION("""COMPUTED_VALUE"""),"🏠")</f>
        <v>🏠</v>
      </c>
      <c r="G65" s="170" t="str">
        <f>IFERROR(__xludf.DUMMYFUNCTION("""COMPUTED_VALUE"""),"Тюмень")</f>
        <v>Тюмень</v>
      </c>
      <c r="H65" s="168" t="str">
        <f>IFERROR(__xludf.DUMMYFUNCTION("""COMPUTED_VALUE"""),"Стандарт")</f>
        <v>Стандарт</v>
      </c>
      <c r="I65" s="168" t="str">
        <f>IFERROR(__xludf.DUMMYFUNCTION("""COMPUTED_VALUE"""),"Тюмень")</f>
        <v>Тюмень</v>
      </c>
      <c r="J65" s="170">
        <f>IFERROR(__xludf.DUMMYFUNCTION("""COMPUTED_VALUE"""),44951.0)</f>
        <v>44951</v>
      </c>
      <c r="K65" s="168">
        <f>IFERROR(__xludf.DUMMYFUNCTION("""COMPUTED_VALUE"""),24859.0)</f>
        <v>24859</v>
      </c>
      <c r="L65" s="171" t="str">
        <f>IFERROR(__xludf.DUMMYFUNCTION("""COMPUTED_VALUE"""),"В работе")</f>
        <v>В работе</v>
      </c>
      <c r="M65" s="172">
        <f>IFERROR(__xludf.DUMMYFUNCTION("""COMPUTED_VALUE"""),100000.0)</f>
        <v>100000</v>
      </c>
      <c r="P65" s="168"/>
      <c r="Q65" s="168"/>
    </row>
    <row r="66">
      <c r="A66" s="168" t="str">
        <f>IFERROR(__xludf.DUMMYFUNCTION("""COMPUTED_VALUE"""),"Звездный городок_ГП-9")</f>
        <v>Звездный городок_ГП-9</v>
      </c>
      <c r="B66" s="168" t="str">
        <f>IFERROR(__xludf.DUMMYFUNCTION("""COMPUTED_VALUE"""),"Звездный городок")</f>
        <v>Звездный городок</v>
      </c>
      <c r="C66" s="168" t="str">
        <f>IFERROR(__xludf.DUMMYFUNCTION("""COMPUTED_VALUE"""),"ГП-9")</f>
        <v>ГП-9</v>
      </c>
      <c r="D66" s="168" t="str">
        <f>IFERROR(__xludf.DUMMYFUNCTION("""COMPUTED_VALUE"""),"ГП")</f>
        <v>ГП</v>
      </c>
      <c r="E66" s="168">
        <f>IFERROR(__xludf.DUMMYFUNCTION("""COMPUTED_VALUE"""),9.0)</f>
        <v>9</v>
      </c>
      <c r="F66" s="168" t="str">
        <f>IFERROR(__xludf.DUMMYFUNCTION("""COMPUTED_VALUE"""),"🏠")</f>
        <v>🏠</v>
      </c>
      <c r="G66" s="170" t="str">
        <f>IFERROR(__xludf.DUMMYFUNCTION("""COMPUTED_VALUE"""),"Тюмень")</f>
        <v>Тюмень</v>
      </c>
      <c r="H66" s="168" t="str">
        <f>IFERROR(__xludf.DUMMYFUNCTION("""COMPUTED_VALUE"""),"Комфорт")</f>
        <v>Комфорт</v>
      </c>
      <c r="I66" s="168" t="str">
        <f>IFERROR(__xludf.DUMMYFUNCTION("""COMPUTED_VALUE"""),"Тюмень")</f>
        <v>Тюмень</v>
      </c>
      <c r="J66" s="170">
        <f>IFERROR(__xludf.DUMMYFUNCTION("""COMPUTED_VALUE"""),44951.0)</f>
        <v>44951</v>
      </c>
      <c r="K66" s="168">
        <f>IFERROR(__xludf.DUMMYFUNCTION("""COMPUTED_VALUE"""),65384.72)</f>
        <v>65384.72</v>
      </c>
      <c r="L66" s="171" t="str">
        <f>IFERROR(__xludf.DUMMYFUNCTION("""COMPUTED_VALUE"""),"В работе")</f>
        <v>В работе</v>
      </c>
      <c r="M66" s="172">
        <f>IFERROR(__xludf.DUMMYFUNCTION("""COMPUTED_VALUE"""),100000.0)</f>
        <v>100000</v>
      </c>
      <c r="P66" s="168"/>
      <c r="Q66" s="168"/>
    </row>
    <row r="67">
      <c r="A67" s="168" t="str">
        <f>IFERROR(__xludf.DUMMYFUNCTION("""COMPUTED_VALUE"""),"Иловайская_ГП-1")</f>
        <v>Иловайская_ГП-1</v>
      </c>
      <c r="B67" s="168" t="str">
        <f>IFERROR(__xludf.DUMMYFUNCTION("""COMPUTED_VALUE"""),"Иловайская")</f>
        <v>Иловайская</v>
      </c>
      <c r="C67" s="168" t="str">
        <f>IFERROR(__xludf.DUMMYFUNCTION("""COMPUTED_VALUE"""),"ГП-1")</f>
        <v>ГП-1</v>
      </c>
      <c r="D67" s="168" t="str">
        <f>IFERROR(__xludf.DUMMYFUNCTION("""COMPUTED_VALUE"""),"ГП")</f>
        <v>ГП</v>
      </c>
      <c r="E67" s="168">
        <f>IFERROR(__xludf.DUMMYFUNCTION("""COMPUTED_VALUE"""),1.0)</f>
        <v>1</v>
      </c>
      <c r="F67" s="168" t="str">
        <f>IFERROR(__xludf.DUMMYFUNCTION("""COMPUTED_VALUE"""),"🏠")</f>
        <v>🏠</v>
      </c>
      <c r="G67" s="168" t="str">
        <f>IFERROR(__xludf.DUMMYFUNCTION("""COMPUTED_VALUE"""),"Москва")</f>
        <v>Москва</v>
      </c>
      <c r="H67" s="168" t="str">
        <f>IFERROR(__xludf.DUMMYFUNCTION("""COMPUTED_VALUE"""),"Комфорт")</f>
        <v>Комфорт</v>
      </c>
      <c r="I67" s="168" t="str">
        <f>IFERROR(__xludf.DUMMYFUNCTION("""COMPUTED_VALUE"""),"Москва")</f>
        <v>Москва</v>
      </c>
      <c r="J67" s="170">
        <f>IFERROR(__xludf.DUMMYFUNCTION("""COMPUTED_VALUE"""),44951.0)</f>
        <v>44951</v>
      </c>
      <c r="K67" s="168">
        <f>IFERROR(__xludf.DUMMYFUNCTION("""COMPUTED_VALUE"""),120941.316)</f>
        <v>120941.316</v>
      </c>
      <c r="L67" s="171" t="str">
        <f>IFERROR(__xludf.DUMMYFUNCTION("""COMPUTED_VALUE"""),"В работе")</f>
        <v>В работе</v>
      </c>
      <c r="M67" s="172">
        <f>IFERROR(__xludf.DUMMYFUNCTION("""COMPUTED_VALUE"""),200000.0)</f>
        <v>200000</v>
      </c>
      <c r="P67" s="168"/>
      <c r="Q67" s="168"/>
    </row>
    <row r="68">
      <c r="A68" s="168" t="str">
        <f>IFERROR(__xludf.DUMMYFUNCTION("""COMPUTED_VALUE"""),"Иловайская_ГП-3")</f>
        <v>Иловайская_ГП-3</v>
      </c>
      <c r="B68" s="168" t="str">
        <f>IFERROR(__xludf.DUMMYFUNCTION("""COMPUTED_VALUE"""),"Иловайская")</f>
        <v>Иловайская</v>
      </c>
      <c r="C68" s="168" t="str">
        <f>IFERROR(__xludf.DUMMYFUNCTION("""COMPUTED_VALUE"""),"ГП-3")</f>
        <v>ГП-3</v>
      </c>
      <c r="D68" s="168" t="str">
        <f>IFERROR(__xludf.DUMMYFUNCTION("""COMPUTED_VALUE"""),"ГП")</f>
        <v>ГП</v>
      </c>
      <c r="E68" s="168">
        <f>IFERROR(__xludf.DUMMYFUNCTION("""COMPUTED_VALUE"""),3.0)</f>
        <v>3</v>
      </c>
      <c r="F68" s="168" t="str">
        <f>IFERROR(__xludf.DUMMYFUNCTION("""COMPUTED_VALUE"""),"👨‍🎓")</f>
        <v>👨‍🎓</v>
      </c>
      <c r="G68" s="168" t="str">
        <f>IFERROR(__xludf.DUMMYFUNCTION("""COMPUTED_VALUE"""),"Москва")</f>
        <v>Москва</v>
      </c>
      <c r="H68" s="168" t="str">
        <f>IFERROR(__xludf.DUMMYFUNCTION("""COMPUTED_VALUE"""),"Комфорт")</f>
        <v>Комфорт</v>
      </c>
      <c r="I68" s="168" t="str">
        <f>IFERROR(__xludf.DUMMYFUNCTION("""COMPUTED_VALUE"""),"НР/Текущие ")</f>
        <v>НР/Текущие </v>
      </c>
      <c r="J68" s="170">
        <f>IFERROR(__xludf.DUMMYFUNCTION("""COMPUTED_VALUE"""),45098.0)</f>
        <v>45098</v>
      </c>
      <c r="K68" s="168"/>
      <c r="L68" s="168" t="str">
        <f>IFERROR(__xludf.DUMMYFUNCTION("""COMPUTED_VALUE"""),"#N/A")</f>
        <v>#N/A</v>
      </c>
      <c r="M68" s="172">
        <f>IFERROR(__xludf.DUMMYFUNCTION("""COMPUTED_VALUE"""),200000.0)</f>
        <v>200000</v>
      </c>
      <c r="P68" s="168"/>
      <c r="Q68" s="168"/>
    </row>
    <row r="69">
      <c r="A69" s="168" t="str">
        <f>IFERROR(__xludf.DUMMYFUNCTION("""COMPUTED_VALUE"""),"Иловайская_ГП-2")</f>
        <v>Иловайская_ГП-2</v>
      </c>
      <c r="B69" s="168" t="str">
        <f>IFERROR(__xludf.DUMMYFUNCTION("""COMPUTED_VALUE"""),"Иловайская")</f>
        <v>Иловайская</v>
      </c>
      <c r="C69" s="168" t="str">
        <f>IFERROR(__xludf.DUMMYFUNCTION("""COMPUTED_VALUE"""),"ГП-2")</f>
        <v>ГП-2</v>
      </c>
      <c r="D69" s="168" t="str">
        <f>IFERROR(__xludf.DUMMYFUNCTION("""COMPUTED_VALUE"""),"ГП")</f>
        <v>ГП</v>
      </c>
      <c r="E69" s="168">
        <f>IFERROR(__xludf.DUMMYFUNCTION("""COMPUTED_VALUE"""),2.0)</f>
        <v>2</v>
      </c>
      <c r="F69" s="168" t="str">
        <f>IFERROR(__xludf.DUMMYFUNCTION("""COMPUTED_VALUE"""),"💼")</f>
        <v>💼</v>
      </c>
      <c r="G69" s="168" t="str">
        <f>IFERROR(__xludf.DUMMYFUNCTION("""COMPUTED_VALUE"""),"Москва")</f>
        <v>Москва</v>
      </c>
      <c r="H69" s="168"/>
      <c r="I69" s="168" t="str">
        <f>IFERROR(__xludf.DUMMYFUNCTION("""COMPUTED_VALUE"""),"Москва")</f>
        <v>Москва</v>
      </c>
      <c r="J69" s="170">
        <f>IFERROR(__xludf.DUMMYFUNCTION("""COMPUTED_VALUE"""),45105.0)</f>
        <v>45105</v>
      </c>
      <c r="K69" s="168"/>
      <c r="L69" s="168" t="str">
        <f>IFERROR(__xludf.DUMMYFUNCTION("""COMPUTED_VALUE"""),"#N/A")</f>
        <v>#N/A</v>
      </c>
      <c r="M69" s="172">
        <f>IFERROR(__xludf.DUMMYFUNCTION("""COMPUTED_VALUE"""),200000.0)</f>
        <v>200000</v>
      </c>
      <c r="P69" s="168"/>
      <c r="Q69" s="168"/>
    </row>
    <row r="70">
      <c r="A70" s="168" t="str">
        <f>IFERROR(__xludf.DUMMYFUNCTION("""COMPUTED_VALUE"""),"Иловайская_ГП-4")</f>
        <v>Иловайская_ГП-4</v>
      </c>
      <c r="B70" s="168" t="str">
        <f>IFERROR(__xludf.DUMMYFUNCTION("""COMPUTED_VALUE"""),"Иловайская")</f>
        <v>Иловайская</v>
      </c>
      <c r="C70" s="168" t="str">
        <f>IFERROR(__xludf.DUMMYFUNCTION("""COMPUTED_VALUE"""),"ГП-4")</f>
        <v>ГП-4</v>
      </c>
      <c r="D70" s="168" t="str">
        <f>IFERROR(__xludf.DUMMYFUNCTION("""COMPUTED_VALUE"""),"ГП")</f>
        <v>ГП</v>
      </c>
      <c r="E70" s="168">
        <f>IFERROR(__xludf.DUMMYFUNCTION("""COMPUTED_VALUE"""),4.0)</f>
        <v>4</v>
      </c>
      <c r="F70" s="168" t="str">
        <f>IFERROR(__xludf.DUMMYFUNCTION("""COMPUTED_VALUE"""),"🏠")</f>
        <v>🏠</v>
      </c>
      <c r="G70" s="168" t="str">
        <f>IFERROR(__xludf.DUMMYFUNCTION("""COMPUTED_VALUE"""),"Москва")</f>
        <v>Москва</v>
      </c>
      <c r="H70" s="168" t="str">
        <f>IFERROR(__xludf.DUMMYFUNCTION("""COMPUTED_VALUE"""),"Комфорт")</f>
        <v>Комфорт</v>
      </c>
      <c r="I70" s="168" t="str">
        <f>IFERROR(__xludf.DUMMYFUNCTION("""COMPUTED_VALUE"""),"Москва")</f>
        <v>Москва</v>
      </c>
      <c r="J70" s="170">
        <f>IFERROR(__xludf.DUMMYFUNCTION("""COMPUTED_VALUE"""),45135.0)</f>
        <v>45135</v>
      </c>
      <c r="K70" s="168"/>
      <c r="L70" s="171" t="str">
        <f>IFERROR(__xludf.DUMMYFUNCTION("""COMPUTED_VALUE"""),"Новые")</f>
        <v>Новые</v>
      </c>
      <c r="M70" s="172">
        <f>IFERROR(__xludf.DUMMYFUNCTION("""COMPUTED_VALUE"""),200000.0)</f>
        <v>200000</v>
      </c>
      <c r="P70" s="168"/>
      <c r="Q70" s="168"/>
    </row>
    <row r="71">
      <c r="A71" s="168" t="str">
        <f>IFERROR(__xludf.DUMMYFUNCTION("""COMPUTED_VALUE"""),"Иловайская_ГП-6")</f>
        <v>Иловайская_ГП-6</v>
      </c>
      <c r="B71" s="168" t="str">
        <f>IFERROR(__xludf.DUMMYFUNCTION("""COMPUTED_VALUE"""),"Иловайская")</f>
        <v>Иловайская</v>
      </c>
      <c r="C71" s="168" t="str">
        <f>IFERROR(__xludf.DUMMYFUNCTION("""COMPUTED_VALUE"""),"ГП-6")</f>
        <v>ГП-6</v>
      </c>
      <c r="D71" s="168" t="str">
        <f>IFERROR(__xludf.DUMMYFUNCTION("""COMPUTED_VALUE"""),"ГП")</f>
        <v>ГП</v>
      </c>
      <c r="E71" s="168">
        <f>IFERROR(__xludf.DUMMYFUNCTION("""COMPUTED_VALUE"""),6.0)</f>
        <v>6</v>
      </c>
      <c r="F71" s="168" t="str">
        <f>IFERROR(__xludf.DUMMYFUNCTION("""COMPUTED_VALUE"""),"🏠")</f>
        <v>🏠</v>
      </c>
      <c r="G71" s="168" t="str">
        <f>IFERROR(__xludf.DUMMYFUNCTION("""COMPUTED_VALUE"""),"Москва")</f>
        <v>Москва</v>
      </c>
      <c r="H71" s="168" t="str">
        <f>IFERROR(__xludf.DUMMYFUNCTION("""COMPUTED_VALUE"""),"Комфорт")</f>
        <v>Комфорт</v>
      </c>
      <c r="I71" s="168" t="str">
        <f>IFERROR(__xludf.DUMMYFUNCTION("""COMPUTED_VALUE"""),"НР/Текущие ")</f>
        <v>НР/Текущие </v>
      </c>
      <c r="J71" s="170">
        <f>IFERROR(__xludf.DUMMYFUNCTION("""COMPUTED_VALUE"""),45135.0)</f>
        <v>45135</v>
      </c>
      <c r="K71" s="168"/>
      <c r="L71" s="171" t="str">
        <f>IFERROR(__xludf.DUMMYFUNCTION("""COMPUTED_VALUE"""),"Новые")</f>
        <v>Новые</v>
      </c>
      <c r="M71" s="172">
        <f>IFERROR(__xludf.DUMMYFUNCTION("""COMPUTED_VALUE"""),200000.0)</f>
        <v>200000</v>
      </c>
      <c r="P71" s="168"/>
      <c r="Q71" s="168"/>
    </row>
    <row r="72">
      <c r="A72" s="168" t="str">
        <f>IFERROR(__xludf.DUMMYFUNCTION("""COMPUTED_VALUE"""),"Интернациональная-15199_ГП-1")</f>
        <v>Интернациональная-15199_ГП-1</v>
      </c>
      <c r="B72" s="168" t="str">
        <f>IFERROR(__xludf.DUMMYFUNCTION("""COMPUTED_VALUE"""),"Интернациональная-15199")</f>
        <v>Интернациональная-15199</v>
      </c>
      <c r="C72" s="168" t="str">
        <f>IFERROR(__xludf.DUMMYFUNCTION("""COMPUTED_VALUE"""),"ГП-1")</f>
        <v>ГП-1</v>
      </c>
      <c r="D72" s="168" t="str">
        <f>IFERROR(__xludf.DUMMYFUNCTION("""COMPUTED_VALUE"""),"ГП")</f>
        <v>ГП</v>
      </c>
      <c r="E72" s="168">
        <f>IFERROR(__xludf.DUMMYFUNCTION("""COMPUTED_VALUE"""),1.0)</f>
        <v>1</v>
      </c>
      <c r="F72" s="168" t="str">
        <f>IFERROR(__xludf.DUMMYFUNCTION("""COMPUTED_VALUE"""),"🏠")</f>
        <v>🏠</v>
      </c>
      <c r="G72" s="170" t="str">
        <f>IFERROR(__xludf.DUMMYFUNCTION("""COMPUTED_VALUE"""),"Тюмень")</f>
        <v>Тюмень</v>
      </c>
      <c r="H72" s="168" t="str">
        <f>IFERROR(__xludf.DUMMYFUNCTION("""COMPUTED_VALUE"""),"Стандарт")</f>
        <v>Стандарт</v>
      </c>
      <c r="I72" s="168" t="str">
        <f>IFERROR(__xludf.DUMMYFUNCTION("""COMPUTED_VALUE"""),"Внешний")</f>
        <v>Внешний</v>
      </c>
      <c r="J72" s="170">
        <f>IFERROR(__xludf.DUMMYFUNCTION("""COMPUTED_VALUE"""),44951.0)</f>
        <v>44951</v>
      </c>
      <c r="K72" s="168">
        <f>IFERROR(__xludf.DUMMYFUNCTION("""COMPUTED_VALUE"""),53104.51)</f>
        <v>53104.51</v>
      </c>
      <c r="L72" s="171" t="str">
        <f>IFERROR(__xludf.DUMMYFUNCTION("""COMPUTED_VALUE"""),"В работе")</f>
        <v>В работе</v>
      </c>
      <c r="M72" s="172">
        <f>IFERROR(__xludf.DUMMYFUNCTION("""COMPUTED_VALUE"""),100000.0)</f>
        <v>100000</v>
      </c>
      <c r="P72" s="168"/>
      <c r="Q72" s="168"/>
    </row>
    <row r="73">
      <c r="A73" s="168" t="str">
        <f>IFERROR(__xludf.DUMMYFUNCTION("""COMPUTED_VALUE"""),"Интернациональная-15199_ГП-2")</f>
        <v>Интернациональная-15199_ГП-2</v>
      </c>
      <c r="B73" s="168" t="str">
        <f>IFERROR(__xludf.DUMMYFUNCTION("""COMPUTED_VALUE"""),"Интернациональная-15199")</f>
        <v>Интернациональная-15199</v>
      </c>
      <c r="C73" s="168" t="str">
        <f>IFERROR(__xludf.DUMMYFUNCTION("""COMPUTED_VALUE"""),"ГП-2")</f>
        <v>ГП-2</v>
      </c>
      <c r="D73" s="168" t="str">
        <f>IFERROR(__xludf.DUMMYFUNCTION("""COMPUTED_VALUE"""),"ГП")</f>
        <v>ГП</v>
      </c>
      <c r="E73" s="168">
        <f>IFERROR(__xludf.DUMMYFUNCTION("""COMPUTED_VALUE"""),2.0)</f>
        <v>2</v>
      </c>
      <c r="F73" s="168" t="str">
        <f>IFERROR(__xludf.DUMMYFUNCTION("""COMPUTED_VALUE"""),"🏠")</f>
        <v>🏠</v>
      </c>
      <c r="G73" s="170" t="str">
        <f>IFERROR(__xludf.DUMMYFUNCTION("""COMPUTED_VALUE"""),"Тюмень")</f>
        <v>Тюмень</v>
      </c>
      <c r="H73" s="168" t="str">
        <f>IFERROR(__xludf.DUMMYFUNCTION("""COMPUTED_VALUE"""),"Стандарт")</f>
        <v>Стандарт</v>
      </c>
      <c r="I73" s="168" t="str">
        <f>IFERROR(__xludf.DUMMYFUNCTION("""COMPUTED_VALUE"""),"Санкт-Петербург")</f>
        <v>Санкт-Петербург</v>
      </c>
      <c r="J73" s="170">
        <f>IFERROR(__xludf.DUMMYFUNCTION("""COMPUTED_VALUE"""),44951.0)</f>
        <v>44951</v>
      </c>
      <c r="K73" s="168">
        <f>IFERROR(__xludf.DUMMYFUNCTION("""COMPUTED_VALUE"""),50517.5)</f>
        <v>50517.5</v>
      </c>
      <c r="L73" s="171" t="str">
        <f>IFERROR(__xludf.DUMMYFUNCTION("""COMPUTED_VALUE"""),"В работе")</f>
        <v>В работе</v>
      </c>
      <c r="M73" s="172">
        <f>IFERROR(__xludf.DUMMYFUNCTION("""COMPUTED_VALUE"""),100000.0)</f>
        <v>100000</v>
      </c>
      <c r="P73" s="168"/>
      <c r="Q73" s="168"/>
    </row>
    <row r="74">
      <c r="A74" s="168" t="str">
        <f>IFERROR(__xludf.DUMMYFUNCTION("""COMPUTED_VALUE"""),"Интернациональная-15199_ГП-")</f>
        <v>Интернациональная-15199_ГП-</v>
      </c>
      <c r="B74" s="168" t="str">
        <f>IFERROR(__xludf.DUMMYFUNCTION("""COMPUTED_VALUE"""),"Интернациональная-15199")</f>
        <v>Интернациональная-15199</v>
      </c>
      <c r="C74" s="168" t="str">
        <f>IFERROR(__xludf.DUMMYFUNCTION("""COMPUTED_VALUE"""),"ГП-")</f>
        <v>ГП-</v>
      </c>
      <c r="D74" s="168" t="str">
        <f>IFERROR(__xludf.DUMMYFUNCTION("""COMPUTED_VALUE"""),"ГП")</f>
        <v>ГП</v>
      </c>
      <c r="E74" s="168"/>
      <c r="F74" s="168" t="str">
        <f>IFERROR(__xludf.DUMMYFUNCTION("""COMPUTED_VALUE"""),"🏭")</f>
        <v>🏭</v>
      </c>
      <c r="G74" s="170" t="str">
        <f>IFERROR(__xludf.DUMMYFUNCTION("""COMPUTED_VALUE"""),"Тюмень")</f>
        <v>Тюмень</v>
      </c>
      <c r="H74" s="168"/>
      <c r="I74" s="168" t="str">
        <f>IFERROR(__xludf.DUMMYFUNCTION("""COMPUTED_VALUE"""),"Внешний")</f>
        <v>Внешний</v>
      </c>
      <c r="J74" s="170">
        <f>IFERROR(__xludf.DUMMYFUNCTION("""COMPUTED_VALUE"""),44988.0)</f>
        <v>44988</v>
      </c>
      <c r="K74" s="168"/>
      <c r="L74" s="168" t="str">
        <f>IFERROR(__xludf.DUMMYFUNCTION("""COMPUTED_VALUE"""),"#N/A")</f>
        <v>#N/A</v>
      </c>
      <c r="M74" s="172">
        <f>IFERROR(__xludf.DUMMYFUNCTION("""COMPUTED_VALUE"""),100000.0)</f>
        <v>100000</v>
      </c>
      <c r="P74" s="168"/>
      <c r="Q74" s="168"/>
    </row>
    <row r="75">
      <c r="A75" s="168" t="str">
        <f>IFERROR(__xludf.DUMMYFUNCTION("""COMPUTED_VALUE"""),"Интернациональная-15199_ГП-3")</f>
        <v>Интернациональная-15199_ГП-3</v>
      </c>
      <c r="B75" s="168" t="str">
        <f>IFERROR(__xludf.DUMMYFUNCTION("""COMPUTED_VALUE"""),"Интернациональная-15199")</f>
        <v>Интернациональная-15199</v>
      </c>
      <c r="C75" s="168" t="str">
        <f>IFERROR(__xludf.DUMMYFUNCTION("""COMPUTED_VALUE"""),"ГП-3")</f>
        <v>ГП-3</v>
      </c>
      <c r="D75" s="168" t="str">
        <f>IFERROR(__xludf.DUMMYFUNCTION("""COMPUTED_VALUE"""),"ГП")</f>
        <v>ГП</v>
      </c>
      <c r="E75" s="168">
        <f>IFERROR(__xludf.DUMMYFUNCTION("""COMPUTED_VALUE"""),3.0)</f>
        <v>3</v>
      </c>
      <c r="F75" s="168" t="str">
        <f>IFERROR(__xludf.DUMMYFUNCTION("""COMPUTED_VALUE"""),"🏠")</f>
        <v>🏠</v>
      </c>
      <c r="G75" s="170" t="str">
        <f>IFERROR(__xludf.DUMMYFUNCTION("""COMPUTED_VALUE"""),"Тюмень")</f>
        <v>Тюмень</v>
      </c>
      <c r="H75" s="168" t="str">
        <f>IFERROR(__xludf.DUMMYFUNCTION("""COMPUTED_VALUE"""),"Стандарт")</f>
        <v>Стандарт</v>
      </c>
      <c r="I75" s="168" t="str">
        <f>IFERROR(__xludf.DUMMYFUNCTION("""COMPUTED_VALUE"""),"Санкт-Петербург")</f>
        <v>Санкт-Петербург</v>
      </c>
      <c r="J75" s="170">
        <f>IFERROR(__xludf.DUMMYFUNCTION("""COMPUTED_VALUE"""),44951.0)</f>
        <v>44951</v>
      </c>
      <c r="K75" s="168">
        <f>IFERROR(__xludf.DUMMYFUNCTION("""COMPUTED_VALUE"""),37219.95)</f>
        <v>37219.95</v>
      </c>
      <c r="L75" s="171" t="str">
        <f>IFERROR(__xludf.DUMMYFUNCTION("""COMPUTED_VALUE"""),"Новые")</f>
        <v>Новые</v>
      </c>
      <c r="M75" s="172">
        <f>IFERROR(__xludf.DUMMYFUNCTION("""COMPUTED_VALUE"""),100000.0)</f>
        <v>100000</v>
      </c>
      <c r="P75" s="168"/>
      <c r="Q75" s="168"/>
    </row>
    <row r="76">
      <c r="A76" s="168" t="str">
        <f>IFERROR(__xludf.DUMMYFUNCTION("""COMPUTED_VALUE"""),"Интернациональная-15211_ГП-4")</f>
        <v>Интернациональная-15211_ГП-4</v>
      </c>
      <c r="B76" s="168" t="str">
        <f>IFERROR(__xludf.DUMMYFUNCTION("""COMPUTED_VALUE"""),"Интернациональная-15211")</f>
        <v>Интернациональная-15211</v>
      </c>
      <c r="C76" s="168" t="str">
        <f>IFERROR(__xludf.DUMMYFUNCTION("""COMPUTED_VALUE"""),"ГП-4")</f>
        <v>ГП-4</v>
      </c>
      <c r="D76" s="168" t="str">
        <f>IFERROR(__xludf.DUMMYFUNCTION("""COMPUTED_VALUE"""),"ГП")</f>
        <v>ГП</v>
      </c>
      <c r="E76" s="168">
        <f>IFERROR(__xludf.DUMMYFUNCTION("""COMPUTED_VALUE"""),4.0)</f>
        <v>4</v>
      </c>
      <c r="F76" s="168" t="str">
        <f>IFERROR(__xludf.DUMMYFUNCTION("""COMPUTED_VALUE"""),"🏠")</f>
        <v>🏠</v>
      </c>
      <c r="G76" s="170" t="str">
        <f>IFERROR(__xludf.DUMMYFUNCTION("""COMPUTED_VALUE"""),"Тюмень")</f>
        <v>Тюмень</v>
      </c>
      <c r="H76" s="168" t="str">
        <f>IFERROR(__xludf.DUMMYFUNCTION("""COMPUTED_VALUE"""),"Стандарт")</f>
        <v>Стандарт</v>
      </c>
      <c r="I76" s="168" t="str">
        <f>IFERROR(__xludf.DUMMYFUNCTION("""COMPUTED_VALUE"""),"Санкт-Петербург")</f>
        <v>Санкт-Петербург</v>
      </c>
      <c r="J76" s="170">
        <f>IFERROR(__xludf.DUMMYFUNCTION("""COMPUTED_VALUE"""),44951.0)</f>
        <v>44951</v>
      </c>
      <c r="K76" s="168">
        <f>IFERROR(__xludf.DUMMYFUNCTION("""COMPUTED_VALUE"""),47329.97)</f>
        <v>47329.97</v>
      </c>
      <c r="L76" s="171" t="str">
        <f>IFERROR(__xludf.DUMMYFUNCTION("""COMPUTED_VALUE"""),"Новые")</f>
        <v>Новые</v>
      </c>
      <c r="M76" s="172">
        <f>IFERROR(__xludf.DUMMYFUNCTION("""COMPUTED_VALUE"""),100000.0)</f>
        <v>100000</v>
      </c>
      <c r="P76" s="168"/>
      <c r="Q76" s="168"/>
    </row>
    <row r="77">
      <c r="A77" s="168" t="str">
        <f>IFERROR(__xludf.DUMMYFUNCTION("""COMPUTED_VALUE"""),"Ирбитская_ГП-1")</f>
        <v>Ирбитская_ГП-1</v>
      </c>
      <c r="B77" s="168" t="str">
        <f>IFERROR(__xludf.DUMMYFUNCTION("""COMPUTED_VALUE"""),"Ирбитская")</f>
        <v>Ирбитская</v>
      </c>
      <c r="C77" s="168" t="str">
        <f>IFERROR(__xludf.DUMMYFUNCTION("""COMPUTED_VALUE"""),"ГП-1")</f>
        <v>ГП-1</v>
      </c>
      <c r="D77" s="168" t="str">
        <f>IFERROR(__xludf.DUMMYFUNCTION("""COMPUTED_VALUE"""),"ГП")</f>
        <v>ГП</v>
      </c>
      <c r="E77" s="168">
        <f>IFERROR(__xludf.DUMMYFUNCTION("""COMPUTED_VALUE"""),1.0)</f>
        <v>1</v>
      </c>
      <c r="F77" s="168" t="str">
        <f>IFERROR(__xludf.DUMMYFUNCTION("""COMPUTED_VALUE"""),"🏠")</f>
        <v>🏠</v>
      </c>
      <c r="G77" s="170" t="str">
        <f>IFERROR(__xludf.DUMMYFUNCTION("""COMPUTED_VALUE"""),"Тюмень")</f>
        <v>Тюмень</v>
      </c>
      <c r="H77" s="168" t="str">
        <f>IFERROR(__xludf.DUMMYFUNCTION("""COMPUTED_VALUE"""),"Комфорт")</f>
        <v>Комфорт</v>
      </c>
      <c r="I77" s="168" t="str">
        <f>IFERROR(__xludf.DUMMYFUNCTION("""COMPUTED_VALUE"""),"Краснодар")</f>
        <v>Краснодар</v>
      </c>
      <c r="J77" s="170">
        <f>IFERROR(__xludf.DUMMYFUNCTION("""COMPUTED_VALUE"""),44951.0)</f>
        <v>44951</v>
      </c>
      <c r="K77" s="168">
        <f>IFERROR(__xludf.DUMMYFUNCTION("""COMPUTED_VALUE"""),18975.72)</f>
        <v>18975.72</v>
      </c>
      <c r="L77" s="171" t="str">
        <f>IFERROR(__xludf.DUMMYFUNCTION("""COMPUTED_VALUE"""),"В работе")</f>
        <v>В работе</v>
      </c>
      <c r="M77" s="172">
        <f>IFERROR(__xludf.DUMMYFUNCTION("""COMPUTED_VALUE"""),100000.0)</f>
        <v>100000</v>
      </c>
      <c r="P77" s="168"/>
      <c r="Q77" s="168"/>
    </row>
    <row r="78">
      <c r="A78" s="168" t="str">
        <f>IFERROR(__xludf.DUMMYFUNCTION("""COMPUTED_VALUE"""),"Ирбитская_ГП-2")</f>
        <v>Ирбитская_ГП-2</v>
      </c>
      <c r="B78" s="168" t="str">
        <f>IFERROR(__xludf.DUMMYFUNCTION("""COMPUTED_VALUE"""),"Ирбитская")</f>
        <v>Ирбитская</v>
      </c>
      <c r="C78" s="168" t="str">
        <f>IFERROR(__xludf.DUMMYFUNCTION("""COMPUTED_VALUE"""),"ГП-2")</f>
        <v>ГП-2</v>
      </c>
      <c r="D78" s="168" t="str">
        <f>IFERROR(__xludf.DUMMYFUNCTION("""COMPUTED_VALUE"""),"ГП")</f>
        <v>ГП</v>
      </c>
      <c r="E78" s="168">
        <f>IFERROR(__xludf.DUMMYFUNCTION("""COMPUTED_VALUE"""),2.0)</f>
        <v>2</v>
      </c>
      <c r="F78" s="168" t="str">
        <f>IFERROR(__xludf.DUMMYFUNCTION("""COMPUTED_VALUE"""),"🏠")</f>
        <v>🏠</v>
      </c>
      <c r="G78" s="168" t="str">
        <f>IFERROR(__xludf.DUMMYFUNCTION("""COMPUTED_VALUE"""),"Тюмень")</f>
        <v>Тюмень</v>
      </c>
      <c r="H78" s="168" t="str">
        <f>IFERROR(__xludf.DUMMYFUNCTION("""COMPUTED_VALUE"""),"Комфорт")</f>
        <v>Комфорт</v>
      </c>
      <c r="I78" s="168" t="str">
        <f>IFERROR(__xludf.DUMMYFUNCTION("""COMPUTED_VALUE"""),"Краснодар")</f>
        <v>Краснодар</v>
      </c>
      <c r="J78" s="170">
        <f>IFERROR(__xludf.DUMMYFUNCTION("""COMPUTED_VALUE"""),44967.0)</f>
        <v>44967</v>
      </c>
      <c r="K78" s="168">
        <f>IFERROR(__xludf.DUMMYFUNCTION("""COMPUTED_VALUE"""),20648.0)</f>
        <v>20648</v>
      </c>
      <c r="L78" s="171" t="str">
        <f>IFERROR(__xludf.DUMMYFUNCTION("""COMPUTED_VALUE"""),"В работе")</f>
        <v>В работе</v>
      </c>
      <c r="M78" s="172">
        <f>IFERROR(__xludf.DUMMYFUNCTION("""COMPUTED_VALUE"""),100000.0)</f>
        <v>100000</v>
      </c>
      <c r="P78" s="168"/>
      <c r="Q78" s="168"/>
    </row>
    <row r="79">
      <c r="A79" s="168" t="str">
        <f>IFERROR(__xludf.DUMMYFUNCTION("""COMPUTED_VALUE"""),"Ирбитская_ГП-3")</f>
        <v>Ирбитская_ГП-3</v>
      </c>
      <c r="B79" s="168" t="str">
        <f>IFERROR(__xludf.DUMMYFUNCTION("""COMPUTED_VALUE"""),"Ирбитская")</f>
        <v>Ирбитская</v>
      </c>
      <c r="C79" s="168" t="str">
        <f>IFERROR(__xludf.DUMMYFUNCTION("""COMPUTED_VALUE"""),"ГП-3")</f>
        <v>ГП-3</v>
      </c>
      <c r="D79" s="168" t="str">
        <f>IFERROR(__xludf.DUMMYFUNCTION("""COMPUTED_VALUE"""),"ГП")</f>
        <v>ГП</v>
      </c>
      <c r="E79" s="168">
        <f>IFERROR(__xludf.DUMMYFUNCTION("""COMPUTED_VALUE"""),3.0)</f>
        <v>3</v>
      </c>
      <c r="F79" s="168" t="str">
        <f>IFERROR(__xludf.DUMMYFUNCTION("""COMPUTED_VALUE"""),"🏠")</f>
        <v>🏠</v>
      </c>
      <c r="G79" s="168" t="str">
        <f>IFERROR(__xludf.DUMMYFUNCTION("""COMPUTED_VALUE"""),"Тюмень")</f>
        <v>Тюмень</v>
      </c>
      <c r="H79" s="168" t="str">
        <f>IFERROR(__xludf.DUMMYFUNCTION("""COMPUTED_VALUE"""),"Комфорт")</f>
        <v>Комфорт</v>
      </c>
      <c r="I79" s="168" t="str">
        <f>IFERROR(__xludf.DUMMYFUNCTION("""COMPUTED_VALUE"""),"Краснодар")</f>
        <v>Краснодар</v>
      </c>
      <c r="J79" s="170">
        <f>IFERROR(__xludf.DUMMYFUNCTION("""COMPUTED_VALUE"""),44988.0)</f>
        <v>44988</v>
      </c>
      <c r="K79" s="168">
        <f>IFERROR(__xludf.DUMMYFUNCTION("""COMPUTED_VALUE"""),13367.0)</f>
        <v>13367</v>
      </c>
      <c r="L79" s="171" t="str">
        <f>IFERROR(__xludf.DUMMYFUNCTION("""COMPUTED_VALUE"""),"В работе")</f>
        <v>В работе</v>
      </c>
      <c r="M79" s="172">
        <f>IFERROR(__xludf.DUMMYFUNCTION("""COMPUTED_VALUE"""),100000.0)</f>
        <v>100000</v>
      </c>
      <c r="P79" s="168"/>
      <c r="Q79" s="168"/>
    </row>
    <row r="80">
      <c r="A80" s="168" t="str">
        <f>IFERROR(__xludf.DUMMYFUNCTION("""COMPUTED_VALUE"""),"Ирбитская_ГП-4")</f>
        <v>Ирбитская_ГП-4</v>
      </c>
      <c r="B80" s="168" t="str">
        <f>IFERROR(__xludf.DUMMYFUNCTION("""COMPUTED_VALUE"""),"Ирбитская")</f>
        <v>Ирбитская</v>
      </c>
      <c r="C80" s="168" t="str">
        <f>IFERROR(__xludf.DUMMYFUNCTION("""COMPUTED_VALUE"""),"ГП-4")</f>
        <v>ГП-4</v>
      </c>
      <c r="D80" s="168" t="str">
        <f>IFERROR(__xludf.DUMMYFUNCTION("""COMPUTED_VALUE"""),"ГП")</f>
        <v>ГП</v>
      </c>
      <c r="E80" s="168">
        <f>IFERROR(__xludf.DUMMYFUNCTION("""COMPUTED_VALUE"""),4.0)</f>
        <v>4</v>
      </c>
      <c r="F80" s="168" t="str">
        <f>IFERROR(__xludf.DUMMYFUNCTION("""COMPUTED_VALUE"""),"🏠")</f>
        <v>🏠</v>
      </c>
      <c r="G80" s="168" t="str">
        <f>IFERROR(__xludf.DUMMYFUNCTION("""COMPUTED_VALUE"""),"Тюмень")</f>
        <v>Тюмень</v>
      </c>
      <c r="H80" s="168" t="str">
        <f>IFERROR(__xludf.DUMMYFUNCTION("""COMPUTED_VALUE"""),"Комфорт")</f>
        <v>Комфорт</v>
      </c>
      <c r="I80" s="168" t="str">
        <f>IFERROR(__xludf.DUMMYFUNCTION("""COMPUTED_VALUE"""),"Краснодар")</f>
        <v>Краснодар</v>
      </c>
      <c r="J80" s="170">
        <f>IFERROR(__xludf.DUMMYFUNCTION("""COMPUTED_VALUE"""),44988.0)</f>
        <v>44988</v>
      </c>
      <c r="K80" s="168">
        <f>IFERROR(__xludf.DUMMYFUNCTION("""COMPUTED_VALUE"""),20138.0)</f>
        <v>20138</v>
      </c>
      <c r="L80" s="171" t="str">
        <f>IFERROR(__xludf.DUMMYFUNCTION("""COMPUTED_VALUE"""),"В работе")</f>
        <v>В работе</v>
      </c>
      <c r="M80" s="172">
        <f>IFERROR(__xludf.DUMMYFUNCTION("""COMPUTED_VALUE"""),100000.0)</f>
        <v>100000</v>
      </c>
      <c r="P80" s="168"/>
      <c r="Q80" s="168"/>
    </row>
    <row r="81">
      <c r="A81" s="168" t="str">
        <f>IFERROR(__xludf.DUMMYFUNCTION("""COMPUTED_VALUE"""),"Калинина_ГП-1.1Ап")</f>
        <v>Калинина_ГП-1.1Ап</v>
      </c>
      <c r="B81" s="168" t="str">
        <f>IFERROR(__xludf.DUMMYFUNCTION("""COMPUTED_VALUE"""),"Калинина")</f>
        <v>Калинина</v>
      </c>
      <c r="C81" s="168" t="str">
        <f>IFERROR(__xludf.DUMMYFUNCTION("""COMPUTED_VALUE"""),"ГП-1.1Ап")</f>
        <v>ГП-1.1Ап</v>
      </c>
      <c r="D81" s="168" t="str">
        <f>IFERROR(__xludf.DUMMYFUNCTION("""COMPUTED_VALUE"""),"ГП")</f>
        <v>ГП</v>
      </c>
      <c r="E81" s="168" t="str">
        <f>IFERROR(__xludf.DUMMYFUNCTION("""COMPUTED_VALUE"""),"1.1Ап")</f>
        <v>1.1Ап</v>
      </c>
      <c r="F81" s="168" t="str">
        <f>IFERROR(__xludf.DUMMYFUNCTION("""COMPUTED_VALUE"""),"🏠АП")</f>
        <v>🏠АП</v>
      </c>
      <c r="G81" s="170" t="str">
        <f>IFERROR(__xludf.DUMMYFUNCTION("""COMPUTED_VALUE"""),"Санкт-Петербург")</f>
        <v>Санкт-Петербург</v>
      </c>
      <c r="H81" s="168" t="str">
        <f>IFERROR(__xludf.DUMMYFUNCTION("""COMPUTED_VALUE"""),"Бизнес")</f>
        <v>Бизнес</v>
      </c>
      <c r="I81" s="168" t="str">
        <f>IFERROR(__xludf.DUMMYFUNCTION("""COMPUTED_VALUE"""),"Внешний")</f>
        <v>Внешний</v>
      </c>
      <c r="J81" s="170">
        <f>IFERROR(__xludf.DUMMYFUNCTION("""COMPUTED_VALUE"""),44951.0)</f>
        <v>44951</v>
      </c>
      <c r="K81" s="168" t="str">
        <f>IFERROR(__xludf.DUMMYFUNCTION("""COMPUTED_VALUE"""),"#N/A")</f>
        <v>#N/A</v>
      </c>
      <c r="L81" s="168" t="str">
        <f>IFERROR(__xludf.DUMMYFUNCTION("""COMPUTED_VALUE"""),"#N/A")</f>
        <v>#N/A</v>
      </c>
      <c r="M81" s="172">
        <f>IFERROR(__xludf.DUMMYFUNCTION("""COMPUTED_VALUE"""),200000.0)</f>
        <v>200000</v>
      </c>
      <c r="P81" s="168"/>
      <c r="Q81" s="168"/>
    </row>
    <row r="82">
      <c r="A82" s="168" t="str">
        <f>IFERROR(__xludf.DUMMYFUNCTION("""COMPUTED_VALUE"""),"Калинина_ГП-1")</f>
        <v>Калинина_ГП-1</v>
      </c>
      <c r="B82" s="168" t="str">
        <f>IFERROR(__xludf.DUMMYFUNCTION("""COMPUTED_VALUE"""),"Калинина")</f>
        <v>Калинина</v>
      </c>
      <c r="C82" s="168" t="str">
        <f>IFERROR(__xludf.DUMMYFUNCTION("""COMPUTED_VALUE"""),"ГП-1")</f>
        <v>ГП-1</v>
      </c>
      <c r="D82" s="168" t="str">
        <f>IFERROR(__xludf.DUMMYFUNCTION("""COMPUTED_VALUE"""),"ГП")</f>
        <v>ГП</v>
      </c>
      <c r="E82" s="168">
        <f>IFERROR(__xludf.DUMMYFUNCTION("""COMPUTED_VALUE"""),1.0)</f>
        <v>1</v>
      </c>
      <c r="F82" s="168" t="str">
        <f>IFERROR(__xludf.DUMMYFUNCTION("""COMPUTED_VALUE"""),"🏠")</f>
        <v>🏠</v>
      </c>
      <c r="G82" s="168" t="str">
        <f>IFERROR(__xludf.DUMMYFUNCTION("""COMPUTED_VALUE"""),"Санкт-Петербург")</f>
        <v>Санкт-Петербург</v>
      </c>
      <c r="H82" s="168" t="str">
        <f>IFERROR(__xludf.DUMMYFUNCTION("""COMPUTED_VALUE"""),"Бизнес")</f>
        <v>Бизнес</v>
      </c>
      <c r="I82" s="168" t="str">
        <f>IFERROR(__xludf.DUMMYFUNCTION("""COMPUTED_VALUE"""),"Санкт-Петербург")</f>
        <v>Санкт-Петербург</v>
      </c>
      <c r="J82" s="170">
        <f>IFERROR(__xludf.DUMMYFUNCTION("""COMPUTED_VALUE"""),45035.0)</f>
        <v>45035</v>
      </c>
      <c r="K82" s="168"/>
      <c r="L82" s="171" t="str">
        <f>IFERROR(__xludf.DUMMYFUNCTION("""COMPUTED_VALUE"""),"В работе")</f>
        <v>В работе</v>
      </c>
      <c r="M82" s="172">
        <f>IFERROR(__xludf.DUMMYFUNCTION("""COMPUTED_VALUE"""),200000.0)</f>
        <v>200000</v>
      </c>
      <c r="P82" s="168"/>
      <c r="Q82" s="168"/>
    </row>
    <row r="83">
      <c r="A83" s="168" t="str">
        <f>IFERROR(__xludf.DUMMYFUNCTION("""COMPUTED_VALUE"""),"Калинина_ГП-13")</f>
        <v>Калинина_ГП-13</v>
      </c>
      <c r="B83" s="168" t="str">
        <f>IFERROR(__xludf.DUMMYFUNCTION("""COMPUTED_VALUE"""),"Калинина")</f>
        <v>Калинина</v>
      </c>
      <c r="C83" s="168" t="str">
        <f>IFERROR(__xludf.DUMMYFUNCTION("""COMPUTED_VALUE"""),"ГП-13")</f>
        <v>ГП-13</v>
      </c>
      <c r="D83" s="168" t="str">
        <f>IFERROR(__xludf.DUMMYFUNCTION("""COMPUTED_VALUE"""),"ГП")</f>
        <v>ГП</v>
      </c>
      <c r="E83" s="168">
        <f>IFERROR(__xludf.DUMMYFUNCTION("""COMPUTED_VALUE"""),13.0)</f>
        <v>13</v>
      </c>
      <c r="F83" s="168" t="str">
        <f>IFERROR(__xludf.DUMMYFUNCTION("""COMPUTED_VALUE"""),"👨‍🎓")</f>
        <v>👨‍🎓</v>
      </c>
      <c r="G83" s="168" t="str">
        <f>IFERROR(__xludf.DUMMYFUNCTION("""COMPUTED_VALUE"""),"Санкт-Петербург")</f>
        <v>Санкт-Петербург</v>
      </c>
      <c r="H83" s="168" t="str">
        <f>IFERROR(__xludf.DUMMYFUNCTION("""COMPUTED_VALUE"""),"Бизнес")</f>
        <v>Бизнес</v>
      </c>
      <c r="I83" s="168" t="str">
        <f>IFERROR(__xludf.DUMMYFUNCTION("""COMPUTED_VALUE"""),"НР/Текущие ")</f>
        <v>НР/Текущие </v>
      </c>
      <c r="J83" s="170">
        <f>IFERROR(__xludf.DUMMYFUNCTION("""COMPUTED_VALUE"""),45135.0)</f>
        <v>45135</v>
      </c>
      <c r="K83" s="168"/>
      <c r="L83" s="168" t="str">
        <f>IFERROR(__xludf.DUMMYFUNCTION("""COMPUTED_VALUE"""),"#N/A")</f>
        <v>#N/A</v>
      </c>
      <c r="M83" s="172">
        <f>IFERROR(__xludf.DUMMYFUNCTION("""COMPUTED_VALUE"""),200000.0)</f>
        <v>200000</v>
      </c>
      <c r="P83" s="168"/>
      <c r="Q83" s="168"/>
    </row>
    <row r="84">
      <c r="A84" s="168" t="str">
        <f>IFERROR(__xludf.DUMMYFUNCTION("""COMPUTED_VALUE"""),"Калинина_ГП-10")</f>
        <v>Калинина_ГП-10</v>
      </c>
      <c r="B84" s="168" t="str">
        <f>IFERROR(__xludf.DUMMYFUNCTION("""COMPUTED_VALUE"""),"Калинина")</f>
        <v>Калинина</v>
      </c>
      <c r="C84" s="168" t="str">
        <f>IFERROR(__xludf.DUMMYFUNCTION("""COMPUTED_VALUE"""),"ГП-10")</f>
        <v>ГП-10</v>
      </c>
      <c r="D84" s="168" t="str">
        <f>IFERROR(__xludf.DUMMYFUNCTION("""COMPUTED_VALUE"""),"ГП")</f>
        <v>ГП</v>
      </c>
      <c r="E84" s="168">
        <f>IFERROR(__xludf.DUMMYFUNCTION("""COMPUTED_VALUE"""),10.0)</f>
        <v>10</v>
      </c>
      <c r="F84" s="168" t="str">
        <f>IFERROR(__xludf.DUMMYFUNCTION("""COMPUTED_VALUE"""),"🏭")</f>
        <v>🏭</v>
      </c>
      <c r="G84" s="168" t="str">
        <f>IFERROR(__xludf.DUMMYFUNCTION("""COMPUTED_VALUE"""),"Санкт-Петербург")</f>
        <v>Санкт-Петербург</v>
      </c>
      <c r="H84" s="168" t="str">
        <f>IFERROR(__xludf.DUMMYFUNCTION("""COMPUTED_VALUE"""),"Бизнес")</f>
        <v>Бизнес</v>
      </c>
      <c r="I84" s="168" t="str">
        <f>IFERROR(__xludf.DUMMYFUNCTION("""COMPUTED_VALUE"""),"НР/Текущие ")</f>
        <v>НР/Текущие </v>
      </c>
      <c r="J84" s="170">
        <f>IFERROR(__xludf.DUMMYFUNCTION("""COMPUTED_VALUE"""),45135.0)</f>
        <v>45135</v>
      </c>
      <c r="K84" s="168"/>
      <c r="L84" s="168" t="str">
        <f>IFERROR(__xludf.DUMMYFUNCTION("""COMPUTED_VALUE"""),"#N/A")</f>
        <v>#N/A</v>
      </c>
      <c r="M84" s="172">
        <f>IFERROR(__xludf.DUMMYFUNCTION("""COMPUTED_VALUE"""),200000.0)</f>
        <v>200000</v>
      </c>
      <c r="P84" s="168"/>
      <c r="Q84" s="168"/>
    </row>
    <row r="85">
      <c r="A85" s="168" t="str">
        <f>IFERROR(__xludf.DUMMYFUNCTION("""COMPUTED_VALUE"""),"Калинина_ГП-2")</f>
        <v>Калинина_ГП-2</v>
      </c>
      <c r="B85" s="168" t="str">
        <f>IFERROR(__xludf.DUMMYFUNCTION("""COMPUTED_VALUE"""),"Калинина")</f>
        <v>Калинина</v>
      </c>
      <c r="C85" s="168" t="str">
        <f>IFERROR(__xludf.DUMMYFUNCTION("""COMPUTED_VALUE"""),"ГП-2")</f>
        <v>ГП-2</v>
      </c>
      <c r="D85" s="168" t="str">
        <f>IFERROR(__xludf.DUMMYFUNCTION("""COMPUTED_VALUE"""),"ГП")</f>
        <v>ГП</v>
      </c>
      <c r="E85" s="168">
        <f>IFERROR(__xludf.DUMMYFUNCTION("""COMPUTED_VALUE"""),2.0)</f>
        <v>2</v>
      </c>
      <c r="F85" s="168" t="str">
        <f>IFERROR(__xludf.DUMMYFUNCTION("""COMPUTED_VALUE"""),"🏠")</f>
        <v>🏠</v>
      </c>
      <c r="G85" s="168" t="str">
        <f>IFERROR(__xludf.DUMMYFUNCTION("""COMPUTED_VALUE"""),"Санкт-Петербург")</f>
        <v>Санкт-Петербург</v>
      </c>
      <c r="H85" s="168" t="str">
        <f>IFERROR(__xludf.DUMMYFUNCTION("""COMPUTED_VALUE"""),"Бизнес")</f>
        <v>Бизнес</v>
      </c>
      <c r="I85" s="168" t="str">
        <f>IFERROR(__xludf.DUMMYFUNCTION("""COMPUTED_VALUE"""),"Санкт-Петербург")</f>
        <v>Санкт-Петербург</v>
      </c>
      <c r="J85" s="170">
        <f>IFERROR(__xludf.DUMMYFUNCTION("""COMPUTED_VALUE"""),45135.0)</f>
        <v>45135</v>
      </c>
      <c r="K85" s="168"/>
      <c r="L85" s="171" t="str">
        <f>IFERROR(__xludf.DUMMYFUNCTION("""COMPUTED_VALUE"""),"Новые")</f>
        <v>Новые</v>
      </c>
      <c r="M85" s="172">
        <f>IFERROR(__xludf.DUMMYFUNCTION("""COMPUTED_VALUE"""),200000.0)</f>
        <v>200000</v>
      </c>
      <c r="P85" s="168"/>
      <c r="Q85" s="168"/>
    </row>
    <row r="86">
      <c r="A86" s="168" t="str">
        <f>IFERROR(__xludf.DUMMYFUNCTION("""COMPUTED_VALUE"""),"Капсюльное_ГП-1")</f>
        <v>Капсюльное_ГП-1</v>
      </c>
      <c r="B86" s="168" t="str">
        <f>IFERROR(__xludf.DUMMYFUNCTION("""COMPUTED_VALUE"""),"Капсюльное")</f>
        <v>Капсюльное</v>
      </c>
      <c r="C86" s="168" t="str">
        <f>IFERROR(__xludf.DUMMYFUNCTION("""COMPUTED_VALUE"""),"ГП-1")</f>
        <v>ГП-1</v>
      </c>
      <c r="D86" s="168" t="str">
        <f>IFERROR(__xludf.DUMMYFUNCTION("""COMPUTED_VALUE"""),"ГП")</f>
        <v>ГП</v>
      </c>
      <c r="E86" s="168">
        <f>IFERROR(__xludf.DUMMYFUNCTION("""COMPUTED_VALUE"""),1.0)</f>
        <v>1</v>
      </c>
      <c r="F86" s="168" t="str">
        <f>IFERROR(__xludf.DUMMYFUNCTION("""COMPUTED_VALUE"""),"🏠")</f>
        <v>🏠</v>
      </c>
      <c r="G86" s="168" t="str">
        <f>IFERROR(__xludf.DUMMYFUNCTION("""COMPUTED_VALUE"""),"Санкт-Петербург")</f>
        <v>Санкт-Петербург</v>
      </c>
      <c r="H86" s="168" t="str">
        <f>IFERROR(__xludf.DUMMYFUNCTION("""COMPUTED_VALUE"""),"Комфорт")</f>
        <v>Комфорт</v>
      </c>
      <c r="I86" s="168" t="str">
        <f>IFERROR(__xludf.DUMMYFUNCTION("""COMPUTED_VALUE"""),"Санкт-Петербург")</f>
        <v>Санкт-Петербург</v>
      </c>
      <c r="J86" s="170">
        <f>IFERROR(__xludf.DUMMYFUNCTION("""COMPUTED_VALUE"""),44988.0)</f>
        <v>44988</v>
      </c>
      <c r="K86" s="168">
        <f>IFERROR(__xludf.DUMMYFUNCTION("""COMPUTED_VALUE"""),32050.0)</f>
        <v>32050</v>
      </c>
      <c r="L86" s="171" t="str">
        <f>IFERROR(__xludf.DUMMYFUNCTION("""COMPUTED_VALUE"""),"Новые")</f>
        <v>Новые</v>
      </c>
      <c r="M86" s="172">
        <f>IFERROR(__xludf.DUMMYFUNCTION("""COMPUTED_VALUE"""),200000.0)</f>
        <v>200000</v>
      </c>
      <c r="P86" s="168"/>
      <c r="Q86" s="168"/>
    </row>
    <row r="87">
      <c r="A87" s="168" t="str">
        <f>IFERROR(__xludf.DUMMYFUNCTION("""COMPUTED_VALUE"""),"Колумб 2.0_ГП-1")</f>
        <v>Колумб 2.0_ГП-1</v>
      </c>
      <c r="B87" s="168" t="str">
        <f>IFERROR(__xludf.DUMMYFUNCTION("""COMPUTED_VALUE"""),"Колумб 2.0")</f>
        <v>Колумб 2.0</v>
      </c>
      <c r="C87" s="168" t="str">
        <f>IFERROR(__xludf.DUMMYFUNCTION("""COMPUTED_VALUE"""),"ГП-1")</f>
        <v>ГП-1</v>
      </c>
      <c r="D87" s="168" t="str">
        <f>IFERROR(__xludf.DUMMYFUNCTION("""COMPUTED_VALUE"""),"ГП")</f>
        <v>ГП</v>
      </c>
      <c r="E87" s="168">
        <f>IFERROR(__xludf.DUMMYFUNCTION("""COMPUTED_VALUE"""),1.0)</f>
        <v>1</v>
      </c>
      <c r="F87" s="168"/>
      <c r="G87" s="168" t="str">
        <f>IFERROR(__xludf.DUMMYFUNCTION("""COMPUTED_VALUE"""),"#N/A")</f>
        <v>#N/A</v>
      </c>
      <c r="H87" s="168"/>
      <c r="I87" s="168" t="str">
        <f>IFERROR(__xludf.DUMMYFUNCTION("""COMPUTED_VALUE"""),"#N/A")</f>
        <v>#N/A</v>
      </c>
      <c r="J87" s="170">
        <f>IFERROR(__xludf.DUMMYFUNCTION("""COMPUTED_VALUE"""),44988.0)</f>
        <v>44988</v>
      </c>
      <c r="K87" s="168"/>
      <c r="L87" s="168" t="str">
        <f>IFERROR(__xludf.DUMMYFUNCTION("""COMPUTED_VALUE"""),"#N/A")</f>
        <v>#N/A</v>
      </c>
      <c r="M87" s="172">
        <f>IFERROR(__xludf.DUMMYFUNCTION("""COMPUTED_VALUE"""),100000.0)</f>
        <v>100000</v>
      </c>
      <c r="P87" s="168"/>
      <c r="Q87" s="168"/>
    </row>
    <row r="88">
      <c r="A88" s="168" t="str">
        <f>IFERROR(__xludf.DUMMYFUNCTION("""COMPUTED_VALUE"""),"Марии Ульяновой_")</f>
        <v>Марии Ульяновой_</v>
      </c>
      <c r="B88" s="168" t="str">
        <f>IFERROR(__xludf.DUMMYFUNCTION("""COMPUTED_VALUE"""),"Марии Ульяновой")</f>
        <v>Марии Ульяновой</v>
      </c>
      <c r="C88" s="168"/>
      <c r="D88" s="168" t="str">
        <f>IFERROR(__xludf.DUMMYFUNCTION("""COMPUTED_VALUE"""),"#VALUE!")</f>
        <v>#VALUE!</v>
      </c>
      <c r="E88" s="168"/>
      <c r="F88" s="168" t="str">
        <f>IFERROR(__xludf.DUMMYFUNCTION("""COMPUTED_VALUE"""),"🏠")</f>
        <v>🏠</v>
      </c>
      <c r="G88" s="170" t="str">
        <f>IFERROR(__xludf.DUMMYFUNCTION("""COMPUTED_VALUE"""),"Москва")</f>
        <v>Москва</v>
      </c>
      <c r="H88" s="168" t="str">
        <f>IFERROR(__xludf.DUMMYFUNCTION("""COMPUTED_VALUE"""),"Премиум")</f>
        <v>Премиум</v>
      </c>
      <c r="I88" s="168" t="str">
        <f>IFERROR(__xludf.DUMMYFUNCTION("""COMPUTED_VALUE"""),"Внешний")</f>
        <v>Внешний</v>
      </c>
      <c r="J88" s="170">
        <f>IFERROR(__xludf.DUMMYFUNCTION("""COMPUTED_VALUE"""),44951.0)</f>
        <v>44951</v>
      </c>
      <c r="K88" s="168">
        <f>IFERROR(__xludf.DUMMYFUNCTION("""COMPUTED_VALUE"""),16710.0)</f>
        <v>16710</v>
      </c>
      <c r="L88" s="171" t="str">
        <f>IFERROR(__xludf.DUMMYFUNCTION("""COMPUTED_VALUE"""),"Новые")</f>
        <v>Новые</v>
      </c>
      <c r="M88" s="172">
        <f>IFERROR(__xludf.DUMMYFUNCTION("""COMPUTED_VALUE"""),200000.0)</f>
        <v>200000</v>
      </c>
      <c r="P88" s="168"/>
      <c r="Q88" s="168"/>
    </row>
    <row r="89">
      <c r="A89" s="168" t="str">
        <f>IFERROR(__xludf.DUMMYFUNCTION("""COMPUTED_VALUE"""),"Московский тракт_ГП-1")</f>
        <v>Московский тракт_ГП-1</v>
      </c>
      <c r="B89" s="168" t="str">
        <f>IFERROR(__xludf.DUMMYFUNCTION("""COMPUTED_VALUE"""),"Московский тракт")</f>
        <v>Московский тракт</v>
      </c>
      <c r="C89" s="168" t="str">
        <f>IFERROR(__xludf.DUMMYFUNCTION("""COMPUTED_VALUE"""),"ГП-1")</f>
        <v>ГП-1</v>
      </c>
      <c r="D89" s="168" t="str">
        <f>IFERROR(__xludf.DUMMYFUNCTION("""COMPUTED_VALUE"""),"ГП")</f>
        <v>ГП</v>
      </c>
      <c r="E89" s="168">
        <f>IFERROR(__xludf.DUMMYFUNCTION("""COMPUTED_VALUE"""),1.0)</f>
        <v>1</v>
      </c>
      <c r="F89" s="168" t="str">
        <f>IFERROR(__xludf.DUMMYFUNCTION("""COMPUTED_VALUE"""),"🏠")</f>
        <v>🏠</v>
      </c>
      <c r="G89" s="170" t="str">
        <f>IFERROR(__xludf.DUMMYFUNCTION("""COMPUTED_VALUE"""),"Тюмень")</f>
        <v>Тюмень</v>
      </c>
      <c r="H89" s="168" t="str">
        <f>IFERROR(__xludf.DUMMYFUNCTION("""COMPUTED_VALUE"""),"Стандарт")</f>
        <v>Стандарт</v>
      </c>
      <c r="I89" s="168" t="str">
        <f>IFERROR(__xludf.DUMMYFUNCTION("""COMPUTED_VALUE"""),"Внешний")</f>
        <v>Внешний</v>
      </c>
      <c r="J89" s="170">
        <f>IFERROR(__xludf.DUMMYFUNCTION("""COMPUTED_VALUE"""),44951.0)</f>
        <v>44951</v>
      </c>
      <c r="K89" s="168">
        <f>IFERROR(__xludf.DUMMYFUNCTION("""COMPUTED_VALUE"""),26702.5)</f>
        <v>26702.5</v>
      </c>
      <c r="L89" s="171" t="str">
        <f>IFERROR(__xludf.DUMMYFUNCTION("""COMPUTED_VALUE"""),"Построен")</f>
        <v>Построен</v>
      </c>
      <c r="M89" s="172">
        <f>IFERROR(__xludf.DUMMYFUNCTION("""COMPUTED_VALUE"""),100000.0)</f>
        <v>100000</v>
      </c>
      <c r="P89" s="168"/>
      <c r="Q89" s="168"/>
    </row>
    <row r="90">
      <c r="A90" s="168" t="str">
        <f>IFERROR(__xludf.DUMMYFUNCTION("""COMPUTED_VALUE"""),"Московский тракт_ГП-2")</f>
        <v>Московский тракт_ГП-2</v>
      </c>
      <c r="B90" s="168" t="str">
        <f>IFERROR(__xludf.DUMMYFUNCTION("""COMPUTED_VALUE"""),"Московский тракт")</f>
        <v>Московский тракт</v>
      </c>
      <c r="C90" s="168" t="str">
        <f>IFERROR(__xludf.DUMMYFUNCTION("""COMPUTED_VALUE"""),"ГП-2")</f>
        <v>ГП-2</v>
      </c>
      <c r="D90" s="168" t="str">
        <f>IFERROR(__xludf.DUMMYFUNCTION("""COMPUTED_VALUE"""),"ГП")</f>
        <v>ГП</v>
      </c>
      <c r="E90" s="168">
        <f>IFERROR(__xludf.DUMMYFUNCTION("""COMPUTED_VALUE"""),2.0)</f>
        <v>2</v>
      </c>
      <c r="F90" s="168" t="str">
        <f>IFERROR(__xludf.DUMMYFUNCTION("""COMPUTED_VALUE"""),"🚗")</f>
        <v>🚗</v>
      </c>
      <c r="G90" s="170" t="str">
        <f>IFERROR(__xludf.DUMMYFUNCTION("""COMPUTED_VALUE"""),"Тюмень")</f>
        <v>Тюмень</v>
      </c>
      <c r="H90" s="168"/>
      <c r="I90" s="168" t="str">
        <f>IFERROR(__xludf.DUMMYFUNCTION("""COMPUTED_VALUE"""),"Внешний")</f>
        <v>Внешний</v>
      </c>
      <c r="J90" s="170">
        <f>IFERROR(__xludf.DUMMYFUNCTION("""COMPUTED_VALUE"""),44988.0)</f>
        <v>44988</v>
      </c>
      <c r="K90" s="168">
        <f>IFERROR(__xludf.DUMMYFUNCTION("""COMPUTED_VALUE"""),6254.0)</f>
        <v>6254</v>
      </c>
      <c r="L90" s="168" t="str">
        <f>IFERROR(__xludf.DUMMYFUNCTION("""COMPUTED_VALUE"""),"#N/A")</f>
        <v>#N/A</v>
      </c>
      <c r="M90" s="172">
        <f>IFERROR(__xludf.DUMMYFUNCTION("""COMPUTED_VALUE"""),100000.0)</f>
        <v>100000</v>
      </c>
      <c r="P90" s="168"/>
      <c r="Q90" s="168"/>
    </row>
    <row r="91">
      <c r="A91" s="168" t="str">
        <f>IFERROR(__xludf.DUMMYFUNCTION("""COMPUTED_VALUE"""),"Московский тракт_ГП-3")</f>
        <v>Московский тракт_ГП-3</v>
      </c>
      <c r="B91" s="168" t="str">
        <f>IFERROR(__xludf.DUMMYFUNCTION("""COMPUTED_VALUE"""),"Московский тракт")</f>
        <v>Московский тракт</v>
      </c>
      <c r="C91" s="168" t="str">
        <f>IFERROR(__xludf.DUMMYFUNCTION("""COMPUTED_VALUE"""),"ГП-3")</f>
        <v>ГП-3</v>
      </c>
      <c r="D91" s="168" t="str">
        <f>IFERROR(__xludf.DUMMYFUNCTION("""COMPUTED_VALUE"""),"ГП")</f>
        <v>ГП</v>
      </c>
      <c r="E91" s="168">
        <f>IFERROR(__xludf.DUMMYFUNCTION("""COMPUTED_VALUE"""),3.0)</f>
        <v>3</v>
      </c>
      <c r="F91" s="168" t="str">
        <f>IFERROR(__xludf.DUMMYFUNCTION("""COMPUTED_VALUE"""),"🏠")</f>
        <v>🏠</v>
      </c>
      <c r="G91" s="170" t="str">
        <f>IFERROR(__xludf.DUMMYFUNCTION("""COMPUTED_VALUE"""),"Тюмень")</f>
        <v>Тюмень</v>
      </c>
      <c r="H91" s="168" t="str">
        <f>IFERROR(__xludf.DUMMYFUNCTION("""COMPUTED_VALUE"""),"Стандарт")</f>
        <v>Стандарт</v>
      </c>
      <c r="I91" s="168" t="str">
        <f>IFERROR(__xludf.DUMMYFUNCTION("""COMPUTED_VALUE"""),"Внешний")</f>
        <v>Внешний</v>
      </c>
      <c r="J91" s="170">
        <f>IFERROR(__xludf.DUMMYFUNCTION("""COMPUTED_VALUE"""),44951.0)</f>
        <v>44951</v>
      </c>
      <c r="K91" s="168">
        <f>IFERROR(__xludf.DUMMYFUNCTION("""COMPUTED_VALUE"""),40706.98)</f>
        <v>40706.98</v>
      </c>
      <c r="L91" s="171" t="str">
        <f>IFERROR(__xludf.DUMMYFUNCTION("""COMPUTED_VALUE"""),"Построен")</f>
        <v>Построен</v>
      </c>
      <c r="M91" s="172">
        <f>IFERROR(__xludf.DUMMYFUNCTION("""COMPUTED_VALUE"""),100000.0)</f>
        <v>100000</v>
      </c>
      <c r="P91" s="168"/>
      <c r="Q91" s="168"/>
    </row>
    <row r="92">
      <c r="A92" s="168" t="str">
        <f>IFERROR(__xludf.DUMMYFUNCTION("""COMPUTED_VALUE"""),"Московский тракт_ГП-4")</f>
        <v>Московский тракт_ГП-4</v>
      </c>
      <c r="B92" s="168" t="str">
        <f>IFERROR(__xludf.DUMMYFUNCTION("""COMPUTED_VALUE"""),"Московский тракт")</f>
        <v>Московский тракт</v>
      </c>
      <c r="C92" s="168" t="str">
        <f>IFERROR(__xludf.DUMMYFUNCTION("""COMPUTED_VALUE"""),"ГП-4")</f>
        <v>ГП-4</v>
      </c>
      <c r="D92" s="168" t="str">
        <f>IFERROR(__xludf.DUMMYFUNCTION("""COMPUTED_VALUE"""),"ГП")</f>
        <v>ГП</v>
      </c>
      <c r="E92" s="168">
        <f>IFERROR(__xludf.DUMMYFUNCTION("""COMPUTED_VALUE"""),4.0)</f>
        <v>4</v>
      </c>
      <c r="F92" s="168" t="str">
        <f>IFERROR(__xludf.DUMMYFUNCTION("""COMPUTED_VALUE"""),"🏠")</f>
        <v>🏠</v>
      </c>
      <c r="G92" s="170" t="str">
        <f>IFERROR(__xludf.DUMMYFUNCTION("""COMPUTED_VALUE"""),"Тюмень")</f>
        <v>Тюмень</v>
      </c>
      <c r="H92" s="168" t="str">
        <f>IFERROR(__xludf.DUMMYFUNCTION("""COMPUTED_VALUE"""),"Стандарт")</f>
        <v>Стандарт</v>
      </c>
      <c r="I92" s="168" t="str">
        <f>IFERROR(__xludf.DUMMYFUNCTION("""COMPUTED_VALUE"""),"Внешний")</f>
        <v>Внешний</v>
      </c>
      <c r="J92" s="170">
        <f>IFERROR(__xludf.DUMMYFUNCTION("""COMPUTED_VALUE"""),44951.0)</f>
        <v>44951</v>
      </c>
      <c r="K92" s="168">
        <f>IFERROR(__xludf.DUMMYFUNCTION("""COMPUTED_VALUE"""),27486.78)</f>
        <v>27486.78</v>
      </c>
      <c r="L92" s="171" t="str">
        <f>IFERROR(__xludf.DUMMYFUNCTION("""COMPUTED_VALUE"""),"Построен")</f>
        <v>Построен</v>
      </c>
      <c r="M92" s="172">
        <f>IFERROR(__xludf.DUMMYFUNCTION("""COMPUTED_VALUE"""),100000.0)</f>
        <v>100000</v>
      </c>
      <c r="P92" s="168"/>
      <c r="Q92" s="168"/>
    </row>
    <row r="93">
      <c r="A93" s="168" t="str">
        <f>IFERROR(__xludf.DUMMYFUNCTION("""COMPUTED_VALUE"""),"Московский тракт_ГП-5")</f>
        <v>Московский тракт_ГП-5</v>
      </c>
      <c r="B93" s="168" t="str">
        <f>IFERROR(__xludf.DUMMYFUNCTION("""COMPUTED_VALUE"""),"Московский тракт")</f>
        <v>Московский тракт</v>
      </c>
      <c r="C93" s="168" t="str">
        <f>IFERROR(__xludf.DUMMYFUNCTION("""COMPUTED_VALUE"""),"ГП-5")</f>
        <v>ГП-5</v>
      </c>
      <c r="D93" s="168" t="str">
        <f>IFERROR(__xludf.DUMMYFUNCTION("""COMPUTED_VALUE"""),"ГП")</f>
        <v>ГП</v>
      </c>
      <c r="E93" s="168">
        <f>IFERROR(__xludf.DUMMYFUNCTION("""COMPUTED_VALUE"""),5.0)</f>
        <v>5</v>
      </c>
      <c r="F93" s="168" t="str">
        <f>IFERROR(__xludf.DUMMYFUNCTION("""COMPUTED_VALUE"""),"🚗")</f>
        <v>🚗</v>
      </c>
      <c r="G93" s="170" t="str">
        <f>IFERROR(__xludf.DUMMYFUNCTION("""COMPUTED_VALUE"""),"Тюмень")</f>
        <v>Тюмень</v>
      </c>
      <c r="H93" s="168"/>
      <c r="I93" s="168" t="str">
        <f>IFERROR(__xludf.DUMMYFUNCTION("""COMPUTED_VALUE"""),"Внешний")</f>
        <v>Внешний</v>
      </c>
      <c r="J93" s="170">
        <f>IFERROR(__xludf.DUMMYFUNCTION("""COMPUTED_VALUE"""),44988.0)</f>
        <v>44988</v>
      </c>
      <c r="K93" s="168">
        <f>IFERROR(__xludf.DUMMYFUNCTION("""COMPUTED_VALUE"""),7009.25)</f>
        <v>7009.25</v>
      </c>
      <c r="L93" s="168" t="str">
        <f>IFERROR(__xludf.DUMMYFUNCTION("""COMPUTED_VALUE"""),"#N/A")</f>
        <v>#N/A</v>
      </c>
      <c r="M93" s="172">
        <f>IFERROR(__xludf.DUMMYFUNCTION("""COMPUTED_VALUE"""),100000.0)</f>
        <v>100000</v>
      </c>
      <c r="P93" s="168"/>
      <c r="Q93" s="168"/>
    </row>
    <row r="94">
      <c r="A94" s="168" t="str">
        <f>IFERROR(__xludf.DUMMYFUNCTION("""COMPUTED_VALUE"""),"Московский тракт_ГП-6")</f>
        <v>Московский тракт_ГП-6</v>
      </c>
      <c r="B94" s="168" t="str">
        <f>IFERROR(__xludf.DUMMYFUNCTION("""COMPUTED_VALUE"""),"Московский тракт")</f>
        <v>Московский тракт</v>
      </c>
      <c r="C94" s="168" t="str">
        <f>IFERROR(__xludf.DUMMYFUNCTION("""COMPUTED_VALUE"""),"ГП-6")</f>
        <v>ГП-6</v>
      </c>
      <c r="D94" s="168" t="str">
        <f>IFERROR(__xludf.DUMMYFUNCTION("""COMPUTED_VALUE"""),"ГП")</f>
        <v>ГП</v>
      </c>
      <c r="E94" s="168">
        <f>IFERROR(__xludf.DUMMYFUNCTION("""COMPUTED_VALUE"""),6.0)</f>
        <v>6</v>
      </c>
      <c r="F94" s="168" t="str">
        <f>IFERROR(__xludf.DUMMYFUNCTION("""COMPUTED_VALUE"""),"🏠")</f>
        <v>🏠</v>
      </c>
      <c r="G94" s="170" t="str">
        <f>IFERROR(__xludf.DUMMYFUNCTION("""COMPUTED_VALUE"""),"Тюмень")</f>
        <v>Тюмень</v>
      </c>
      <c r="H94" s="168" t="str">
        <f>IFERROR(__xludf.DUMMYFUNCTION("""COMPUTED_VALUE"""),"Стандарт")</f>
        <v>Стандарт</v>
      </c>
      <c r="I94" s="168" t="str">
        <f>IFERROR(__xludf.DUMMYFUNCTION("""COMPUTED_VALUE"""),"Внешний")</f>
        <v>Внешний</v>
      </c>
      <c r="J94" s="170">
        <f>IFERROR(__xludf.DUMMYFUNCTION("""COMPUTED_VALUE"""),44951.0)</f>
        <v>44951</v>
      </c>
      <c r="K94" s="168">
        <f>IFERROR(__xludf.DUMMYFUNCTION("""COMPUTED_VALUE"""),25218.65)</f>
        <v>25218.65</v>
      </c>
      <c r="L94" s="171" t="str">
        <f>IFERROR(__xludf.DUMMYFUNCTION("""COMPUTED_VALUE"""),"Построен")</f>
        <v>Построен</v>
      </c>
      <c r="M94" s="172">
        <f>IFERROR(__xludf.DUMMYFUNCTION("""COMPUTED_VALUE"""),100000.0)</f>
        <v>100000</v>
      </c>
      <c r="P94" s="168"/>
      <c r="Q94" s="168"/>
    </row>
    <row r="95">
      <c r="A95" s="168" t="str">
        <f>IFERROR(__xludf.DUMMYFUNCTION("""COMPUTED_VALUE"""),"Московский тракт_ГП-7")</f>
        <v>Московский тракт_ГП-7</v>
      </c>
      <c r="B95" s="168" t="str">
        <f>IFERROR(__xludf.DUMMYFUNCTION("""COMPUTED_VALUE"""),"Московский тракт")</f>
        <v>Московский тракт</v>
      </c>
      <c r="C95" s="168" t="str">
        <f>IFERROR(__xludf.DUMMYFUNCTION("""COMPUTED_VALUE"""),"ГП-7")</f>
        <v>ГП-7</v>
      </c>
      <c r="D95" s="168" t="str">
        <f>IFERROR(__xludf.DUMMYFUNCTION("""COMPUTED_VALUE"""),"ГП")</f>
        <v>ГП</v>
      </c>
      <c r="E95" s="168">
        <f>IFERROR(__xludf.DUMMYFUNCTION("""COMPUTED_VALUE"""),7.0)</f>
        <v>7</v>
      </c>
      <c r="F95" s="168" t="str">
        <f>IFERROR(__xludf.DUMMYFUNCTION("""COMPUTED_VALUE"""),"🏠")</f>
        <v>🏠</v>
      </c>
      <c r="G95" s="170" t="str">
        <f>IFERROR(__xludf.DUMMYFUNCTION("""COMPUTED_VALUE"""),"Тюмень")</f>
        <v>Тюмень</v>
      </c>
      <c r="H95" s="168" t="str">
        <f>IFERROR(__xludf.DUMMYFUNCTION("""COMPUTED_VALUE"""),"Стандарт")</f>
        <v>Стандарт</v>
      </c>
      <c r="I95" s="168" t="str">
        <f>IFERROR(__xludf.DUMMYFUNCTION("""COMPUTED_VALUE"""),"Внешний")</f>
        <v>Внешний</v>
      </c>
      <c r="J95" s="170">
        <f>IFERROR(__xludf.DUMMYFUNCTION("""COMPUTED_VALUE"""),44951.0)</f>
        <v>44951</v>
      </c>
      <c r="K95" s="168">
        <f>IFERROR(__xludf.DUMMYFUNCTION("""COMPUTED_VALUE"""),16120.17)</f>
        <v>16120.17</v>
      </c>
      <c r="L95" s="171" t="str">
        <f>IFERROR(__xludf.DUMMYFUNCTION("""COMPUTED_VALUE"""),"Построен")</f>
        <v>Построен</v>
      </c>
      <c r="M95" s="172">
        <f>IFERROR(__xludf.DUMMYFUNCTION("""COMPUTED_VALUE"""),100000.0)</f>
        <v>100000</v>
      </c>
      <c r="P95" s="168"/>
      <c r="Q95" s="168"/>
    </row>
    <row r="96">
      <c r="A96" s="168" t="str">
        <f>IFERROR(__xludf.DUMMYFUNCTION("""COMPUTED_VALUE"""),"Мытищи_ГП-1")</f>
        <v>Мытищи_ГП-1</v>
      </c>
      <c r="B96" s="168" t="str">
        <f>IFERROR(__xludf.DUMMYFUNCTION("""COMPUTED_VALUE"""),"Мытищи")</f>
        <v>Мытищи</v>
      </c>
      <c r="C96" s="168" t="str">
        <f>IFERROR(__xludf.DUMMYFUNCTION("""COMPUTED_VALUE"""),"ГП-1")</f>
        <v>ГП-1</v>
      </c>
      <c r="D96" s="168" t="str">
        <f>IFERROR(__xludf.DUMMYFUNCTION("""COMPUTED_VALUE"""),"ГП")</f>
        <v>ГП</v>
      </c>
      <c r="E96" s="168">
        <f>IFERROR(__xludf.DUMMYFUNCTION("""COMPUTED_VALUE"""),1.0)</f>
        <v>1</v>
      </c>
      <c r="F96" s="168" t="str">
        <f>IFERROR(__xludf.DUMMYFUNCTION("""COMPUTED_VALUE"""),"🏠")</f>
        <v>🏠</v>
      </c>
      <c r="G96" s="168" t="str">
        <f>IFERROR(__xludf.DUMMYFUNCTION("""COMPUTED_VALUE"""),"Московская область")</f>
        <v>Московская область</v>
      </c>
      <c r="H96" s="168" t="str">
        <f>IFERROR(__xludf.DUMMYFUNCTION("""COMPUTED_VALUE"""),"Комфорт")</f>
        <v>Комфорт</v>
      </c>
      <c r="I96" s="168" t="str">
        <f>IFERROR(__xludf.DUMMYFUNCTION("""COMPUTED_VALUE"""),"Санкт-Петербург")</f>
        <v>Санкт-Петербург</v>
      </c>
      <c r="J96" s="170">
        <f>IFERROR(__xludf.DUMMYFUNCTION("""COMPUTED_VALUE"""),45014.0)</f>
        <v>45014</v>
      </c>
      <c r="K96" s="174">
        <f>IFERROR(__xludf.DUMMYFUNCTION("""COMPUTED_VALUE"""),52611.2)</f>
        <v>52611.2</v>
      </c>
      <c r="L96" s="171" t="str">
        <f>IFERROR(__xludf.DUMMYFUNCTION("""COMPUTED_VALUE"""),"В работе")</f>
        <v>В работе</v>
      </c>
      <c r="M96" s="172">
        <f>IFERROR(__xludf.DUMMYFUNCTION("""COMPUTED_VALUE"""),200000.0)</f>
        <v>200000</v>
      </c>
      <c r="P96" s="168"/>
      <c r="Q96" s="168"/>
    </row>
    <row r="97">
      <c r="A97" s="168" t="str">
        <f>IFERROR(__xludf.DUMMYFUNCTION("""COMPUTED_VALUE"""),"Мытищи_ГП-2")</f>
        <v>Мытищи_ГП-2</v>
      </c>
      <c r="B97" s="168" t="str">
        <f>IFERROR(__xludf.DUMMYFUNCTION("""COMPUTED_VALUE"""),"Мытищи")</f>
        <v>Мытищи</v>
      </c>
      <c r="C97" s="168" t="str">
        <f>IFERROR(__xludf.DUMMYFUNCTION("""COMPUTED_VALUE"""),"ГП-2")</f>
        <v>ГП-2</v>
      </c>
      <c r="D97" s="168" t="str">
        <f>IFERROR(__xludf.DUMMYFUNCTION("""COMPUTED_VALUE"""),"ГП")</f>
        <v>ГП</v>
      </c>
      <c r="E97" s="168">
        <f>IFERROR(__xludf.DUMMYFUNCTION("""COMPUTED_VALUE"""),2.0)</f>
        <v>2</v>
      </c>
      <c r="F97" s="168" t="str">
        <f>IFERROR(__xludf.DUMMYFUNCTION("""COMPUTED_VALUE"""),"🏠")</f>
        <v>🏠</v>
      </c>
      <c r="G97" s="168" t="str">
        <f>IFERROR(__xludf.DUMMYFUNCTION("""COMPUTED_VALUE"""),"Московская область")</f>
        <v>Московская область</v>
      </c>
      <c r="H97" s="168" t="str">
        <f>IFERROR(__xludf.DUMMYFUNCTION("""COMPUTED_VALUE"""),"Комфорт")</f>
        <v>Комфорт</v>
      </c>
      <c r="I97" s="168" t="str">
        <f>IFERROR(__xludf.DUMMYFUNCTION("""COMPUTED_VALUE"""),"Ростов-на-Дону")</f>
        <v>Ростов-на-Дону</v>
      </c>
      <c r="J97" s="170">
        <f>IFERROR(__xludf.DUMMYFUNCTION("""COMPUTED_VALUE"""),45124.0)</f>
        <v>45124</v>
      </c>
      <c r="K97" s="168"/>
      <c r="L97" s="171" t="str">
        <f>IFERROR(__xludf.DUMMYFUNCTION("""COMPUTED_VALUE"""),"Новые")</f>
        <v>Новые</v>
      </c>
      <c r="M97" s="172">
        <f>IFERROR(__xludf.DUMMYFUNCTION("""COMPUTED_VALUE"""),200000.0)</f>
        <v>200000</v>
      </c>
      <c r="P97" s="168"/>
      <c r="Q97" s="168"/>
    </row>
    <row r="98">
      <c r="A98" s="168" t="str">
        <f>IFERROR(__xludf.DUMMYFUNCTION("""COMPUTED_VALUE"""),"Мытищи_ГП-3")</f>
        <v>Мытищи_ГП-3</v>
      </c>
      <c r="B98" s="168" t="str">
        <f>IFERROR(__xludf.DUMMYFUNCTION("""COMPUTED_VALUE"""),"Мытищи")</f>
        <v>Мытищи</v>
      </c>
      <c r="C98" s="168" t="str">
        <f>IFERROR(__xludf.DUMMYFUNCTION("""COMPUTED_VALUE"""),"ГП-3")</f>
        <v>ГП-3</v>
      </c>
      <c r="D98" s="168" t="str">
        <f>IFERROR(__xludf.DUMMYFUNCTION("""COMPUTED_VALUE"""),"ГП")</f>
        <v>ГП</v>
      </c>
      <c r="E98" s="168">
        <f>IFERROR(__xludf.DUMMYFUNCTION("""COMPUTED_VALUE"""),3.0)</f>
        <v>3</v>
      </c>
      <c r="F98" s="168" t="str">
        <f>IFERROR(__xludf.DUMMYFUNCTION("""COMPUTED_VALUE"""),"🏠")</f>
        <v>🏠</v>
      </c>
      <c r="G98" s="168" t="str">
        <f>IFERROR(__xludf.DUMMYFUNCTION("""COMPUTED_VALUE"""),"Московская область")</f>
        <v>Московская область</v>
      </c>
      <c r="H98" s="168" t="str">
        <f>IFERROR(__xludf.DUMMYFUNCTION("""COMPUTED_VALUE"""),"Комфорт")</f>
        <v>Комфорт</v>
      </c>
      <c r="I98" s="168" t="str">
        <f>IFERROR(__xludf.DUMMYFUNCTION("""COMPUTED_VALUE"""),"Внешний")</f>
        <v>Внешний</v>
      </c>
      <c r="J98" s="170">
        <f>IFERROR(__xludf.DUMMYFUNCTION("""COMPUTED_VALUE"""),45124.0)</f>
        <v>45124</v>
      </c>
      <c r="K98" s="168"/>
      <c r="L98" s="171" t="str">
        <f>IFERROR(__xludf.DUMMYFUNCTION("""COMPUTED_VALUE"""),"Новые")</f>
        <v>Новые</v>
      </c>
      <c r="M98" s="172">
        <f>IFERROR(__xludf.DUMMYFUNCTION("""COMPUTED_VALUE"""),200000.0)</f>
        <v>200000</v>
      </c>
      <c r="P98" s="168"/>
      <c r="Q98" s="168"/>
    </row>
    <row r="99">
      <c r="A99" s="168" t="str">
        <f>IFERROR(__xludf.DUMMYFUNCTION("""COMPUTED_VALUE"""),"Мытищи_ГП-4")</f>
        <v>Мытищи_ГП-4</v>
      </c>
      <c r="B99" s="168" t="str">
        <f>IFERROR(__xludf.DUMMYFUNCTION("""COMPUTED_VALUE"""),"Мытищи")</f>
        <v>Мытищи</v>
      </c>
      <c r="C99" s="168" t="str">
        <f>IFERROR(__xludf.DUMMYFUNCTION("""COMPUTED_VALUE"""),"ГП-4")</f>
        <v>ГП-4</v>
      </c>
      <c r="D99" s="168" t="str">
        <f>IFERROR(__xludf.DUMMYFUNCTION("""COMPUTED_VALUE"""),"ГП")</f>
        <v>ГП</v>
      </c>
      <c r="E99" s="168">
        <f>IFERROR(__xludf.DUMMYFUNCTION("""COMPUTED_VALUE"""),4.0)</f>
        <v>4</v>
      </c>
      <c r="F99" s="168" t="str">
        <f>IFERROR(__xludf.DUMMYFUNCTION("""COMPUTED_VALUE"""),"🏠")</f>
        <v>🏠</v>
      </c>
      <c r="G99" s="168" t="str">
        <f>IFERROR(__xludf.DUMMYFUNCTION("""COMPUTED_VALUE"""),"Московская область")</f>
        <v>Московская область</v>
      </c>
      <c r="H99" s="168" t="str">
        <f>IFERROR(__xludf.DUMMYFUNCTION("""COMPUTED_VALUE"""),"Комфорт")</f>
        <v>Комфорт</v>
      </c>
      <c r="I99" s="168" t="str">
        <f>IFERROR(__xludf.DUMMYFUNCTION("""COMPUTED_VALUE"""),"НР/Текущие ")</f>
        <v>НР/Текущие </v>
      </c>
      <c r="J99" s="170">
        <f>IFERROR(__xludf.DUMMYFUNCTION("""COMPUTED_VALUE"""),45124.0)</f>
        <v>45124</v>
      </c>
      <c r="K99" s="168"/>
      <c r="L99" s="171" t="str">
        <f>IFERROR(__xludf.DUMMYFUNCTION("""COMPUTED_VALUE"""),"Новые")</f>
        <v>Новые</v>
      </c>
      <c r="M99" s="172">
        <f>IFERROR(__xludf.DUMMYFUNCTION("""COMPUTED_VALUE"""),200000.0)</f>
        <v>200000</v>
      </c>
      <c r="P99" s="168"/>
      <c r="Q99" s="168"/>
    </row>
    <row r="100">
      <c r="A100" s="168" t="str">
        <f>IFERROR(__xludf.DUMMYFUNCTION("""COMPUTED_VALUE"""),"Нагатино_")</f>
        <v>Нагатино_</v>
      </c>
      <c r="B100" s="168" t="str">
        <f>IFERROR(__xludf.DUMMYFUNCTION("""COMPUTED_VALUE"""),"Нагатино")</f>
        <v>Нагатино</v>
      </c>
      <c r="C100" s="168"/>
      <c r="D100" s="168" t="str">
        <f>IFERROR(__xludf.DUMMYFUNCTION("""COMPUTED_VALUE"""),"#VALUE!")</f>
        <v>#VALUE!</v>
      </c>
      <c r="E100" s="168"/>
      <c r="F100" s="168" t="str">
        <f>IFERROR(__xludf.DUMMYFUNCTION("""COMPUTED_VALUE"""),"🏠")</f>
        <v>🏠</v>
      </c>
      <c r="G100" s="170" t="str">
        <f>IFERROR(__xludf.DUMMYFUNCTION("""COMPUTED_VALUE"""),"Москва")</f>
        <v>Москва</v>
      </c>
      <c r="H100" s="168" t="str">
        <f>IFERROR(__xludf.DUMMYFUNCTION("""COMPUTED_VALUE"""),"Бизнес")</f>
        <v>Бизнес</v>
      </c>
      <c r="I100" s="168" t="str">
        <f>IFERROR(__xludf.DUMMYFUNCTION("""COMPUTED_VALUE"""),"Внешний")</f>
        <v>Внешний</v>
      </c>
      <c r="J100" s="170">
        <f>IFERROR(__xludf.DUMMYFUNCTION("""COMPUTED_VALUE"""),44951.0)</f>
        <v>44951</v>
      </c>
      <c r="K100" s="168">
        <f>IFERROR(__xludf.DUMMYFUNCTION("""COMPUTED_VALUE"""),35974.0)</f>
        <v>35974</v>
      </c>
      <c r="L100" s="171" t="str">
        <f>IFERROR(__xludf.DUMMYFUNCTION("""COMPUTED_VALUE"""),"В работе")</f>
        <v>В работе</v>
      </c>
      <c r="M100" s="172">
        <f>IFERROR(__xludf.DUMMYFUNCTION("""COMPUTED_VALUE"""),200000.0)</f>
        <v>200000</v>
      </c>
      <c r="P100" s="168"/>
      <c r="Q100" s="168"/>
    </row>
    <row r="101">
      <c r="A101" s="168" t="str">
        <f>IFERROR(__xludf.DUMMYFUNCTION("""COMPUTED_VALUE"""),"Нагорное_")</f>
        <v>Нагорное_</v>
      </c>
      <c r="B101" s="168" t="str">
        <f>IFERROR(__xludf.DUMMYFUNCTION("""COMPUTED_VALUE"""),"Нагорное")</f>
        <v>Нагорное</v>
      </c>
      <c r="C101" s="168"/>
      <c r="D101" s="168" t="str">
        <f>IFERROR(__xludf.DUMMYFUNCTION("""COMPUTED_VALUE"""),"#VALUE!")</f>
        <v>#VALUE!</v>
      </c>
      <c r="E101" s="168"/>
      <c r="F101" s="168" t="str">
        <f>IFERROR(__xludf.DUMMYFUNCTION("""COMPUTED_VALUE"""),"🏠")</f>
        <v>🏠</v>
      </c>
      <c r="G101" s="170" t="str">
        <f>IFERROR(__xludf.DUMMYFUNCTION("""COMPUTED_VALUE"""),"Московская область")</f>
        <v>Московская область</v>
      </c>
      <c r="H101" s="168" t="str">
        <f>IFERROR(__xludf.DUMMYFUNCTION("""COMPUTED_VALUE"""),"Комфорт")</f>
        <v>Комфорт</v>
      </c>
      <c r="I101" s="168" t="str">
        <f>IFERROR(__xludf.DUMMYFUNCTION("""COMPUTED_VALUE"""),"НР/Текущие ")</f>
        <v>НР/Текущие </v>
      </c>
      <c r="J101" s="170">
        <f>IFERROR(__xludf.DUMMYFUNCTION("""COMPUTED_VALUE"""),44951.0)</f>
        <v>44951</v>
      </c>
      <c r="K101" s="168"/>
      <c r="L101" s="171" t="str">
        <f>IFERROR(__xludf.DUMMYFUNCTION("""COMPUTED_VALUE"""),"Новые")</f>
        <v>Новые</v>
      </c>
      <c r="M101" s="172">
        <f>IFERROR(__xludf.DUMMYFUNCTION("""COMPUTED_VALUE"""),200000.0)</f>
        <v>200000</v>
      </c>
      <c r="P101" s="168"/>
      <c r="Q101" s="168"/>
    </row>
    <row r="102">
      <c r="A102" s="168" t="str">
        <f>IFERROR(__xludf.DUMMYFUNCTION("""COMPUTED_VALUE"""),"Озерная_ГП-1")</f>
        <v>Озерная_ГП-1</v>
      </c>
      <c r="B102" s="168" t="str">
        <f>IFERROR(__xludf.DUMMYFUNCTION("""COMPUTED_VALUE"""),"Озерная")</f>
        <v>Озерная</v>
      </c>
      <c r="C102" s="168" t="str">
        <f>IFERROR(__xludf.DUMMYFUNCTION("""COMPUTED_VALUE"""),"ГП-1")</f>
        <v>ГП-1</v>
      </c>
      <c r="D102" s="168" t="str">
        <f>IFERROR(__xludf.DUMMYFUNCTION("""COMPUTED_VALUE"""),"ГП")</f>
        <v>ГП</v>
      </c>
      <c r="E102" s="168">
        <f>IFERROR(__xludf.DUMMYFUNCTION("""COMPUTED_VALUE"""),1.0)</f>
        <v>1</v>
      </c>
      <c r="F102" s="168" t="str">
        <f>IFERROR(__xludf.DUMMYFUNCTION("""COMPUTED_VALUE"""),"🏠")</f>
        <v>🏠</v>
      </c>
      <c r="G102" s="170" t="str">
        <f>IFERROR(__xludf.DUMMYFUNCTION("""COMPUTED_VALUE"""),"Москва")</f>
        <v>Москва</v>
      </c>
      <c r="H102" s="168" t="str">
        <f>IFERROR(__xludf.DUMMYFUNCTION("""COMPUTED_VALUE"""),"Бизнес")</f>
        <v>Бизнес</v>
      </c>
      <c r="I102" s="168" t="str">
        <f>IFERROR(__xludf.DUMMYFUNCTION("""COMPUTED_VALUE"""),"Внешний")</f>
        <v>Внешний</v>
      </c>
      <c r="J102" s="170">
        <f>IFERROR(__xludf.DUMMYFUNCTION("""COMPUTED_VALUE"""),44951.0)</f>
        <v>44951</v>
      </c>
      <c r="K102" s="168">
        <f>IFERROR(__xludf.DUMMYFUNCTION("""COMPUTED_VALUE"""),69064.25)</f>
        <v>69064.25</v>
      </c>
      <c r="L102" s="171" t="str">
        <f>IFERROR(__xludf.DUMMYFUNCTION("""COMPUTED_VALUE"""),"В работе")</f>
        <v>В работе</v>
      </c>
      <c r="M102" s="172">
        <f>IFERROR(__xludf.DUMMYFUNCTION("""COMPUTED_VALUE"""),200000.0)</f>
        <v>200000</v>
      </c>
      <c r="P102" s="168"/>
      <c r="Q102" s="168"/>
    </row>
    <row r="103">
      <c r="A103" s="168" t="str">
        <f>IFERROR(__xludf.DUMMYFUNCTION("""COMPUTED_VALUE"""),"Озерная_ГП-2")</f>
        <v>Озерная_ГП-2</v>
      </c>
      <c r="B103" s="168" t="str">
        <f>IFERROR(__xludf.DUMMYFUNCTION("""COMPUTED_VALUE"""),"Озерная")</f>
        <v>Озерная</v>
      </c>
      <c r="C103" s="168" t="str">
        <f>IFERROR(__xludf.DUMMYFUNCTION("""COMPUTED_VALUE"""),"ГП-2")</f>
        <v>ГП-2</v>
      </c>
      <c r="D103" s="168" t="str">
        <f>IFERROR(__xludf.DUMMYFUNCTION("""COMPUTED_VALUE"""),"ГП")</f>
        <v>ГП</v>
      </c>
      <c r="E103" s="168">
        <f>IFERROR(__xludf.DUMMYFUNCTION("""COMPUTED_VALUE"""),2.0)</f>
        <v>2</v>
      </c>
      <c r="F103" s="168" t="str">
        <f>IFERROR(__xludf.DUMMYFUNCTION("""COMPUTED_VALUE"""),"🏠")</f>
        <v>🏠</v>
      </c>
      <c r="G103" s="168" t="str">
        <f>IFERROR(__xludf.DUMMYFUNCTION("""COMPUTED_VALUE"""),"Москва")</f>
        <v>Москва</v>
      </c>
      <c r="H103" s="168" t="str">
        <f>IFERROR(__xludf.DUMMYFUNCTION("""COMPUTED_VALUE"""),"Бизнес")</f>
        <v>Бизнес</v>
      </c>
      <c r="I103" s="168" t="str">
        <f>IFERROR(__xludf.DUMMYFUNCTION("""COMPUTED_VALUE"""),"Москва")</f>
        <v>Москва</v>
      </c>
      <c r="J103" s="170">
        <f>IFERROR(__xludf.DUMMYFUNCTION("""COMPUTED_VALUE"""),45077.0)</f>
        <v>45077</v>
      </c>
      <c r="K103" s="168">
        <f>IFERROR(__xludf.DUMMYFUNCTION("""COMPUTED_VALUE"""),74129.25)</f>
        <v>74129.25</v>
      </c>
      <c r="L103" s="171" t="str">
        <f>IFERROR(__xludf.DUMMYFUNCTION("""COMPUTED_VALUE"""),"Новые")</f>
        <v>Новые</v>
      </c>
      <c r="M103" s="172">
        <f>IFERROR(__xludf.DUMMYFUNCTION("""COMPUTED_VALUE"""),200000.0)</f>
        <v>200000</v>
      </c>
      <c r="P103" s="168"/>
      <c r="Q103" s="168"/>
    </row>
    <row r="104">
      <c r="A104" s="168" t="str">
        <f>IFERROR(__xludf.DUMMYFUNCTION("""COMPUTED_VALUE"""),"Плеханово-51Га_ГП-1")</f>
        <v>Плеханово-51Га_ГП-1</v>
      </c>
      <c r="B104" s="168" t="str">
        <f>IFERROR(__xludf.DUMMYFUNCTION("""COMPUTED_VALUE"""),"Плеханово-51Га")</f>
        <v>Плеханово-51Га</v>
      </c>
      <c r="C104" s="168" t="str">
        <f>IFERROR(__xludf.DUMMYFUNCTION("""COMPUTED_VALUE"""),"ГП-1")</f>
        <v>ГП-1</v>
      </c>
      <c r="D104" s="168" t="str">
        <f>IFERROR(__xludf.DUMMYFUNCTION("""COMPUTED_VALUE"""),"ГП")</f>
        <v>ГП</v>
      </c>
      <c r="E104" s="168">
        <f>IFERROR(__xludf.DUMMYFUNCTION("""COMPUTED_VALUE"""),1.0)</f>
        <v>1</v>
      </c>
      <c r="F104" s="168" t="str">
        <f>IFERROR(__xludf.DUMMYFUNCTION("""COMPUTED_VALUE"""),"🏠")</f>
        <v>🏠</v>
      </c>
      <c r="G104" s="170" t="str">
        <f>IFERROR(__xludf.DUMMYFUNCTION("""COMPUTED_VALUE"""),"Тюмень")</f>
        <v>Тюмень</v>
      </c>
      <c r="H104" s="168" t="str">
        <f>IFERROR(__xludf.DUMMYFUNCTION("""COMPUTED_VALUE"""),"Комфорт")</f>
        <v>Комфорт</v>
      </c>
      <c r="I104" s="168" t="str">
        <f>IFERROR(__xludf.DUMMYFUNCTION("""COMPUTED_VALUE"""),"Внешний")</f>
        <v>Внешний</v>
      </c>
      <c r="J104" s="170">
        <f>IFERROR(__xludf.DUMMYFUNCTION("""COMPUTED_VALUE"""),44988.0)</f>
        <v>44988</v>
      </c>
      <c r="K104" s="168">
        <f>IFERROR(__xludf.DUMMYFUNCTION("""COMPUTED_VALUE"""),20104.91)</f>
        <v>20104.91</v>
      </c>
      <c r="L104" s="171" t="str">
        <f>IFERROR(__xludf.DUMMYFUNCTION("""COMPUTED_VALUE"""),"Построен")</f>
        <v>Построен</v>
      </c>
      <c r="M104" s="172">
        <f>IFERROR(__xludf.DUMMYFUNCTION("""COMPUTED_VALUE"""),100000.0)</f>
        <v>100000</v>
      </c>
      <c r="P104" s="168"/>
      <c r="Q104" s="168"/>
    </row>
    <row r="105">
      <c r="A105" s="168" t="str">
        <f>IFERROR(__xludf.DUMMYFUNCTION("""COMPUTED_VALUE"""),"Плеханово-51Га_ГП-2")</f>
        <v>Плеханово-51Га_ГП-2</v>
      </c>
      <c r="B105" s="168" t="str">
        <f>IFERROR(__xludf.DUMMYFUNCTION("""COMPUTED_VALUE"""),"Плеханово-51Га")</f>
        <v>Плеханово-51Га</v>
      </c>
      <c r="C105" s="168" t="str">
        <f>IFERROR(__xludf.DUMMYFUNCTION("""COMPUTED_VALUE"""),"ГП-2")</f>
        <v>ГП-2</v>
      </c>
      <c r="D105" s="168" t="str">
        <f>IFERROR(__xludf.DUMMYFUNCTION("""COMPUTED_VALUE"""),"ГП")</f>
        <v>ГП</v>
      </c>
      <c r="E105" s="168">
        <f>IFERROR(__xludf.DUMMYFUNCTION("""COMPUTED_VALUE"""),2.0)</f>
        <v>2</v>
      </c>
      <c r="F105" s="168" t="str">
        <f>IFERROR(__xludf.DUMMYFUNCTION("""COMPUTED_VALUE"""),"🏠")</f>
        <v>🏠</v>
      </c>
      <c r="G105" s="170" t="str">
        <f>IFERROR(__xludf.DUMMYFUNCTION("""COMPUTED_VALUE"""),"Тюмень")</f>
        <v>Тюмень</v>
      </c>
      <c r="H105" s="168" t="str">
        <f>IFERROR(__xludf.DUMMYFUNCTION("""COMPUTED_VALUE"""),"Комфорт")</f>
        <v>Комфорт</v>
      </c>
      <c r="I105" s="168" t="str">
        <f>IFERROR(__xludf.DUMMYFUNCTION("""COMPUTED_VALUE"""),"Внешний")</f>
        <v>Внешний</v>
      </c>
      <c r="J105" s="170">
        <f>IFERROR(__xludf.DUMMYFUNCTION("""COMPUTED_VALUE"""),44951.0)</f>
        <v>44951</v>
      </c>
      <c r="K105" s="168">
        <f>IFERROR(__xludf.DUMMYFUNCTION("""COMPUTED_VALUE"""),21577.25)</f>
        <v>21577.25</v>
      </c>
      <c r="L105" s="171" t="str">
        <f>IFERROR(__xludf.DUMMYFUNCTION("""COMPUTED_VALUE"""),"В работе")</f>
        <v>В работе</v>
      </c>
      <c r="M105" s="172">
        <f>IFERROR(__xludf.DUMMYFUNCTION("""COMPUTED_VALUE"""),100000.0)</f>
        <v>100000</v>
      </c>
      <c r="P105" s="168"/>
      <c r="Q105" s="168"/>
    </row>
    <row r="106">
      <c r="A106" s="168" t="str">
        <f>IFERROR(__xludf.DUMMYFUNCTION("""COMPUTED_VALUE"""),"Плеханово-51Га_ГП-3 Паркинг")</f>
        <v>Плеханово-51Га_ГП-3 Паркинг</v>
      </c>
      <c r="B106" s="168" t="str">
        <f>IFERROR(__xludf.DUMMYFUNCTION("""COMPUTED_VALUE"""),"Плеханово-51Га")</f>
        <v>Плеханово-51Га</v>
      </c>
      <c r="C106" s="168" t="str">
        <f>IFERROR(__xludf.DUMMYFUNCTION("""COMPUTED_VALUE"""),"ГП-3 Паркинг")</f>
        <v>ГП-3 Паркинг</v>
      </c>
      <c r="D106" s="168" t="str">
        <f>IFERROR(__xludf.DUMMYFUNCTION("""COMPUTED_VALUE"""),"ГП")</f>
        <v>ГП</v>
      </c>
      <c r="E106" s="168" t="str">
        <f>IFERROR(__xludf.DUMMYFUNCTION("""COMPUTED_VALUE"""),"3 Паркинг")</f>
        <v>3 Паркинг</v>
      </c>
      <c r="F106" s="168" t="str">
        <f>IFERROR(__xludf.DUMMYFUNCTION("""COMPUTED_VALUE"""),"🚗")</f>
        <v>🚗</v>
      </c>
      <c r="G106" s="170" t="str">
        <f>IFERROR(__xludf.DUMMYFUNCTION("""COMPUTED_VALUE"""),"Тюмень")</f>
        <v>Тюмень</v>
      </c>
      <c r="H106" s="168"/>
      <c r="I106" s="168" t="str">
        <f>IFERROR(__xludf.DUMMYFUNCTION("""COMPUTED_VALUE"""),"Внешний")</f>
        <v>Внешний</v>
      </c>
      <c r="J106" s="170">
        <f>IFERROR(__xludf.DUMMYFUNCTION("""COMPUTED_VALUE"""),44988.0)</f>
        <v>44988</v>
      </c>
      <c r="K106" s="168"/>
      <c r="L106" s="168" t="str">
        <f>IFERROR(__xludf.DUMMYFUNCTION("""COMPUTED_VALUE"""),"#N/A")</f>
        <v>#N/A</v>
      </c>
      <c r="M106" s="172">
        <f>IFERROR(__xludf.DUMMYFUNCTION("""COMPUTED_VALUE"""),100000.0)</f>
        <v>100000</v>
      </c>
      <c r="P106" s="168"/>
      <c r="Q106" s="168"/>
    </row>
    <row r="107">
      <c r="A107" s="168" t="str">
        <f>IFERROR(__xludf.DUMMYFUNCTION("""COMPUTED_VALUE"""),"Плеханово-51Га_ГП-4")</f>
        <v>Плеханово-51Га_ГП-4</v>
      </c>
      <c r="B107" s="168" t="str">
        <f>IFERROR(__xludf.DUMMYFUNCTION("""COMPUTED_VALUE"""),"Плеханово-51Га")</f>
        <v>Плеханово-51Га</v>
      </c>
      <c r="C107" s="168" t="str">
        <f>IFERROR(__xludf.DUMMYFUNCTION("""COMPUTED_VALUE"""),"ГП-4")</f>
        <v>ГП-4</v>
      </c>
      <c r="D107" s="168" t="str">
        <f>IFERROR(__xludf.DUMMYFUNCTION("""COMPUTED_VALUE"""),"ГП")</f>
        <v>ГП</v>
      </c>
      <c r="E107" s="168">
        <f>IFERROR(__xludf.DUMMYFUNCTION("""COMPUTED_VALUE"""),4.0)</f>
        <v>4</v>
      </c>
      <c r="F107" s="168" t="str">
        <f>IFERROR(__xludf.DUMMYFUNCTION("""COMPUTED_VALUE"""),"🏠")</f>
        <v>🏠</v>
      </c>
      <c r="G107" s="170" t="str">
        <f>IFERROR(__xludf.DUMMYFUNCTION("""COMPUTED_VALUE"""),"Тюмень")</f>
        <v>Тюмень</v>
      </c>
      <c r="H107" s="168" t="str">
        <f>IFERROR(__xludf.DUMMYFUNCTION("""COMPUTED_VALUE"""),"Комфорт")</f>
        <v>Комфорт</v>
      </c>
      <c r="I107" s="168" t="str">
        <f>IFERROR(__xludf.DUMMYFUNCTION("""COMPUTED_VALUE"""),"Тюмень")</f>
        <v>Тюмень</v>
      </c>
      <c r="J107" s="170">
        <f>IFERROR(__xludf.DUMMYFUNCTION("""COMPUTED_VALUE"""),44952.0)</f>
        <v>44952</v>
      </c>
      <c r="K107" s="168">
        <f>IFERROR(__xludf.DUMMYFUNCTION("""COMPUTED_VALUE"""),21021.25)</f>
        <v>21021.25</v>
      </c>
      <c r="L107" s="171" t="str">
        <f>IFERROR(__xludf.DUMMYFUNCTION("""COMPUTED_VALUE"""),"В работе")</f>
        <v>В работе</v>
      </c>
      <c r="M107" s="172">
        <f>IFERROR(__xludf.DUMMYFUNCTION("""COMPUTED_VALUE"""),100000.0)</f>
        <v>100000</v>
      </c>
      <c r="P107" s="168"/>
      <c r="Q107" s="168"/>
    </row>
    <row r="108">
      <c r="A108" s="168" t="str">
        <f>IFERROR(__xludf.DUMMYFUNCTION("""COMPUTED_VALUE"""),"Плеханово-51Га_ГП-5")</f>
        <v>Плеханово-51Га_ГП-5</v>
      </c>
      <c r="B108" s="168" t="str">
        <f>IFERROR(__xludf.DUMMYFUNCTION("""COMPUTED_VALUE"""),"Плеханово-51Га")</f>
        <v>Плеханово-51Га</v>
      </c>
      <c r="C108" s="168" t="str">
        <f>IFERROR(__xludf.DUMMYFUNCTION("""COMPUTED_VALUE"""),"ГП-5")</f>
        <v>ГП-5</v>
      </c>
      <c r="D108" s="168" t="str">
        <f>IFERROR(__xludf.DUMMYFUNCTION("""COMPUTED_VALUE"""),"ГП")</f>
        <v>ГП</v>
      </c>
      <c r="E108" s="168">
        <f>IFERROR(__xludf.DUMMYFUNCTION("""COMPUTED_VALUE"""),5.0)</f>
        <v>5</v>
      </c>
      <c r="F108" s="168" t="str">
        <f>IFERROR(__xludf.DUMMYFUNCTION("""COMPUTED_VALUE"""),"🏠")</f>
        <v>🏠</v>
      </c>
      <c r="G108" s="170" t="str">
        <f>IFERROR(__xludf.DUMMYFUNCTION("""COMPUTED_VALUE"""),"Тюмень")</f>
        <v>Тюмень</v>
      </c>
      <c r="H108" s="168" t="str">
        <f>IFERROR(__xludf.DUMMYFUNCTION("""COMPUTED_VALUE"""),"Комфорт")</f>
        <v>Комфорт</v>
      </c>
      <c r="I108" s="168" t="str">
        <f>IFERROR(__xludf.DUMMYFUNCTION("""COMPUTED_VALUE"""),"Тюмень")</f>
        <v>Тюмень</v>
      </c>
      <c r="J108" s="170">
        <f>IFERROR(__xludf.DUMMYFUNCTION("""COMPUTED_VALUE"""),44951.0)</f>
        <v>44951</v>
      </c>
      <c r="K108" s="168">
        <f>IFERROR(__xludf.DUMMYFUNCTION("""COMPUTED_VALUE"""),13861.1)</f>
        <v>13861.1</v>
      </c>
      <c r="L108" s="171" t="str">
        <f>IFERROR(__xludf.DUMMYFUNCTION("""COMPUTED_VALUE"""),"В работе")</f>
        <v>В работе</v>
      </c>
      <c r="M108" s="172">
        <f>IFERROR(__xludf.DUMMYFUNCTION("""COMPUTED_VALUE"""),100000.0)</f>
        <v>100000</v>
      </c>
      <c r="P108" s="168"/>
      <c r="Q108" s="168"/>
    </row>
    <row r="109">
      <c r="A109" s="168" t="str">
        <f>IFERROR(__xludf.DUMMYFUNCTION("""COMPUTED_VALUE"""),"Плеханово-51Га_ГП-6")</f>
        <v>Плеханово-51Га_ГП-6</v>
      </c>
      <c r="B109" s="168" t="str">
        <f>IFERROR(__xludf.DUMMYFUNCTION("""COMPUTED_VALUE"""),"Плеханово-51Га")</f>
        <v>Плеханово-51Га</v>
      </c>
      <c r="C109" s="168" t="str">
        <f>IFERROR(__xludf.DUMMYFUNCTION("""COMPUTED_VALUE"""),"ГП-6")</f>
        <v>ГП-6</v>
      </c>
      <c r="D109" s="168" t="str">
        <f>IFERROR(__xludf.DUMMYFUNCTION("""COMPUTED_VALUE"""),"ГП")</f>
        <v>ГП</v>
      </c>
      <c r="E109" s="168">
        <f>IFERROR(__xludf.DUMMYFUNCTION("""COMPUTED_VALUE"""),6.0)</f>
        <v>6</v>
      </c>
      <c r="F109" s="168" t="str">
        <f>IFERROR(__xludf.DUMMYFUNCTION("""COMPUTED_VALUE"""),"🏠")</f>
        <v>🏠</v>
      </c>
      <c r="G109" s="170" t="str">
        <f>IFERROR(__xludf.DUMMYFUNCTION("""COMPUTED_VALUE"""),"Тюмень")</f>
        <v>Тюмень</v>
      </c>
      <c r="H109" s="168" t="str">
        <f>IFERROR(__xludf.DUMMYFUNCTION("""COMPUTED_VALUE"""),"Комфорт")</f>
        <v>Комфорт</v>
      </c>
      <c r="I109" s="168" t="str">
        <f>IFERROR(__xludf.DUMMYFUNCTION("""COMPUTED_VALUE"""),"Тюмень")</f>
        <v>Тюмень</v>
      </c>
      <c r="J109" s="170">
        <f>IFERROR(__xludf.DUMMYFUNCTION("""COMPUTED_VALUE"""),44951.0)</f>
        <v>44951</v>
      </c>
      <c r="K109" s="168">
        <f>IFERROR(__xludf.DUMMYFUNCTION("""COMPUTED_VALUE"""),11797.03)</f>
        <v>11797.03</v>
      </c>
      <c r="L109" s="171" t="str">
        <f>IFERROR(__xludf.DUMMYFUNCTION("""COMPUTED_VALUE"""),"В работе")</f>
        <v>В работе</v>
      </c>
      <c r="M109" s="172">
        <f>IFERROR(__xludf.DUMMYFUNCTION("""COMPUTED_VALUE"""),100000.0)</f>
        <v>100000</v>
      </c>
      <c r="P109" s="168"/>
      <c r="Q109" s="168"/>
    </row>
    <row r="110">
      <c r="A110" s="168" t="str">
        <f>IFERROR(__xludf.DUMMYFUNCTION("""COMPUTED_VALUE"""),"Плеханово-51Га_ГП-7")</f>
        <v>Плеханово-51Га_ГП-7</v>
      </c>
      <c r="B110" s="168" t="str">
        <f>IFERROR(__xludf.DUMMYFUNCTION("""COMPUTED_VALUE"""),"Плеханово-51Га")</f>
        <v>Плеханово-51Га</v>
      </c>
      <c r="C110" s="168" t="str">
        <f>IFERROR(__xludf.DUMMYFUNCTION("""COMPUTED_VALUE"""),"ГП-7")</f>
        <v>ГП-7</v>
      </c>
      <c r="D110" s="168" t="str">
        <f>IFERROR(__xludf.DUMMYFUNCTION("""COMPUTED_VALUE"""),"ГП")</f>
        <v>ГП</v>
      </c>
      <c r="E110" s="168">
        <f>IFERROR(__xludf.DUMMYFUNCTION("""COMPUTED_VALUE"""),7.0)</f>
        <v>7</v>
      </c>
      <c r="F110" s="168" t="str">
        <f>IFERROR(__xludf.DUMMYFUNCTION("""COMPUTED_VALUE"""),"🏠")</f>
        <v>🏠</v>
      </c>
      <c r="G110" s="170" t="str">
        <f>IFERROR(__xludf.DUMMYFUNCTION("""COMPUTED_VALUE"""),"Тюмень")</f>
        <v>Тюмень</v>
      </c>
      <c r="H110" s="168" t="str">
        <f>IFERROR(__xludf.DUMMYFUNCTION("""COMPUTED_VALUE"""),"Комфорт")</f>
        <v>Комфорт</v>
      </c>
      <c r="I110" s="168" t="str">
        <f>IFERROR(__xludf.DUMMYFUNCTION("""COMPUTED_VALUE"""),"Внешний")</f>
        <v>Внешний</v>
      </c>
      <c r="J110" s="170">
        <f>IFERROR(__xludf.DUMMYFUNCTION("""COMPUTED_VALUE"""),44951.0)</f>
        <v>44951</v>
      </c>
      <c r="K110" s="168">
        <f>IFERROR(__xludf.DUMMYFUNCTION("""COMPUTED_VALUE"""),5000.14)</f>
        <v>5000.14</v>
      </c>
      <c r="L110" s="171" t="str">
        <f>IFERROR(__xludf.DUMMYFUNCTION("""COMPUTED_VALUE"""),"В работе")</f>
        <v>В работе</v>
      </c>
      <c r="M110" s="172">
        <f>IFERROR(__xludf.DUMMYFUNCTION("""COMPUTED_VALUE"""),100000.0)</f>
        <v>100000</v>
      </c>
      <c r="P110" s="168"/>
      <c r="Q110" s="168"/>
    </row>
    <row r="111">
      <c r="A111" s="168" t="str">
        <f>IFERROR(__xludf.DUMMYFUNCTION("""COMPUTED_VALUE"""),"Плеханово-51Га_ГП-8")</f>
        <v>Плеханово-51Га_ГП-8</v>
      </c>
      <c r="B111" s="168" t="str">
        <f>IFERROR(__xludf.DUMMYFUNCTION("""COMPUTED_VALUE"""),"Плеханово-51Га")</f>
        <v>Плеханово-51Га</v>
      </c>
      <c r="C111" s="168" t="str">
        <f>IFERROR(__xludf.DUMMYFUNCTION("""COMPUTED_VALUE"""),"ГП-8")</f>
        <v>ГП-8</v>
      </c>
      <c r="D111" s="168" t="str">
        <f>IFERROR(__xludf.DUMMYFUNCTION("""COMPUTED_VALUE"""),"ГП")</f>
        <v>ГП</v>
      </c>
      <c r="E111" s="168">
        <f>IFERROR(__xludf.DUMMYFUNCTION("""COMPUTED_VALUE"""),8.0)</f>
        <v>8</v>
      </c>
      <c r="F111" s="168" t="str">
        <f>IFERROR(__xludf.DUMMYFUNCTION("""COMPUTED_VALUE"""),"🏠")</f>
        <v>🏠</v>
      </c>
      <c r="G111" s="170" t="str">
        <f>IFERROR(__xludf.DUMMYFUNCTION("""COMPUTED_VALUE"""),"Тюмень")</f>
        <v>Тюмень</v>
      </c>
      <c r="H111" s="168" t="str">
        <f>IFERROR(__xludf.DUMMYFUNCTION("""COMPUTED_VALUE"""),"Комфорт")</f>
        <v>Комфорт</v>
      </c>
      <c r="I111" s="168" t="str">
        <f>IFERROR(__xludf.DUMMYFUNCTION("""COMPUTED_VALUE"""),"Тюмень")</f>
        <v>Тюмень</v>
      </c>
      <c r="J111" s="170">
        <f>IFERROR(__xludf.DUMMYFUNCTION("""COMPUTED_VALUE"""),44951.0)</f>
        <v>44951</v>
      </c>
      <c r="K111" s="168">
        <f>IFERROR(__xludf.DUMMYFUNCTION("""COMPUTED_VALUE"""),22116.89)</f>
        <v>22116.89</v>
      </c>
      <c r="L111" s="171" t="str">
        <f>IFERROR(__xludf.DUMMYFUNCTION("""COMPUTED_VALUE"""),"В работе")</f>
        <v>В работе</v>
      </c>
      <c r="M111" s="172">
        <f>IFERROR(__xludf.DUMMYFUNCTION("""COMPUTED_VALUE"""),100000.0)</f>
        <v>100000</v>
      </c>
      <c r="P111" s="168"/>
      <c r="Q111" s="168"/>
    </row>
    <row r="112">
      <c r="A112" s="168" t="str">
        <f>IFERROR(__xludf.DUMMYFUNCTION("""COMPUTED_VALUE"""),"Плеханово-51Га_ГП-9")</f>
        <v>Плеханово-51Га_ГП-9</v>
      </c>
      <c r="B112" s="168" t="str">
        <f>IFERROR(__xludf.DUMMYFUNCTION("""COMPUTED_VALUE"""),"Плеханово-51Га")</f>
        <v>Плеханово-51Га</v>
      </c>
      <c r="C112" s="168" t="str">
        <f>IFERROR(__xludf.DUMMYFUNCTION("""COMPUTED_VALUE"""),"ГП-9")</f>
        <v>ГП-9</v>
      </c>
      <c r="D112" s="168" t="str">
        <f>IFERROR(__xludf.DUMMYFUNCTION("""COMPUTED_VALUE"""),"ГП")</f>
        <v>ГП</v>
      </c>
      <c r="E112" s="168">
        <f>IFERROR(__xludf.DUMMYFUNCTION("""COMPUTED_VALUE"""),9.0)</f>
        <v>9</v>
      </c>
      <c r="F112" s="168" t="str">
        <f>IFERROR(__xludf.DUMMYFUNCTION("""COMPUTED_VALUE"""),"🚗")</f>
        <v>🚗</v>
      </c>
      <c r="G112" s="170" t="str">
        <f>IFERROR(__xludf.DUMMYFUNCTION("""COMPUTED_VALUE"""),"Тюмень")</f>
        <v>Тюмень</v>
      </c>
      <c r="H112" s="168"/>
      <c r="I112" s="168" t="str">
        <f>IFERROR(__xludf.DUMMYFUNCTION("""COMPUTED_VALUE"""),"Тюмень")</f>
        <v>Тюмень</v>
      </c>
      <c r="J112" s="170">
        <f>IFERROR(__xludf.DUMMYFUNCTION("""COMPUTED_VALUE"""),44988.0)</f>
        <v>44988</v>
      </c>
      <c r="K112" s="168">
        <f>IFERROR(__xludf.DUMMYFUNCTION("""COMPUTED_VALUE"""),8148.75)</f>
        <v>8148.75</v>
      </c>
      <c r="L112" s="168" t="str">
        <f>IFERROR(__xludf.DUMMYFUNCTION("""COMPUTED_VALUE"""),"#N/A")</f>
        <v>#N/A</v>
      </c>
      <c r="M112" s="172">
        <f>IFERROR(__xludf.DUMMYFUNCTION("""COMPUTED_VALUE"""),100000.0)</f>
        <v>100000</v>
      </c>
      <c r="P112" s="168"/>
      <c r="Q112" s="168"/>
    </row>
    <row r="113">
      <c r="A113" s="168" t="str">
        <f>IFERROR(__xludf.DUMMYFUNCTION("""COMPUTED_VALUE"""),"Плеханово-51Га_ГП-10")</f>
        <v>Плеханово-51Га_ГП-10</v>
      </c>
      <c r="B113" s="168" t="str">
        <f>IFERROR(__xludf.DUMMYFUNCTION("""COMPUTED_VALUE"""),"Плеханово-51Га")</f>
        <v>Плеханово-51Га</v>
      </c>
      <c r="C113" s="168" t="str">
        <f>IFERROR(__xludf.DUMMYFUNCTION("""COMPUTED_VALUE"""),"ГП-10")</f>
        <v>ГП-10</v>
      </c>
      <c r="D113" s="168" t="str">
        <f>IFERROR(__xludf.DUMMYFUNCTION("""COMPUTED_VALUE"""),"ГП")</f>
        <v>ГП</v>
      </c>
      <c r="E113" s="168">
        <f>IFERROR(__xludf.DUMMYFUNCTION("""COMPUTED_VALUE"""),10.0)</f>
        <v>10</v>
      </c>
      <c r="F113" s="168" t="str">
        <f>IFERROR(__xludf.DUMMYFUNCTION("""COMPUTED_VALUE"""),"🏠")</f>
        <v>🏠</v>
      </c>
      <c r="G113" s="170" t="str">
        <f>IFERROR(__xludf.DUMMYFUNCTION("""COMPUTED_VALUE"""),"Тюмень")</f>
        <v>Тюмень</v>
      </c>
      <c r="H113" s="168" t="str">
        <f>IFERROR(__xludf.DUMMYFUNCTION("""COMPUTED_VALUE"""),"Комфорт")</f>
        <v>Комфорт</v>
      </c>
      <c r="I113" s="168" t="str">
        <f>IFERROR(__xludf.DUMMYFUNCTION("""COMPUTED_VALUE"""),"Ростов-на-Дону")</f>
        <v>Ростов-на-Дону</v>
      </c>
      <c r="J113" s="170">
        <f>IFERROR(__xludf.DUMMYFUNCTION("""COMPUTED_VALUE"""),44951.0)</f>
        <v>44951</v>
      </c>
      <c r="K113" s="168">
        <f>IFERROR(__xludf.DUMMYFUNCTION("""COMPUTED_VALUE"""),21331.0)</f>
        <v>21331</v>
      </c>
      <c r="L113" s="171" t="str">
        <f>IFERROR(__xludf.DUMMYFUNCTION("""COMPUTED_VALUE"""),"В работе")</f>
        <v>В работе</v>
      </c>
      <c r="M113" s="172">
        <f>IFERROR(__xludf.DUMMYFUNCTION("""COMPUTED_VALUE"""),100000.0)</f>
        <v>100000</v>
      </c>
      <c r="P113" s="168"/>
      <c r="Q113" s="168"/>
    </row>
    <row r="114">
      <c r="A114" s="168" t="str">
        <f>IFERROR(__xludf.DUMMYFUNCTION("""COMPUTED_VALUE"""),"Плеханово-51Га_ГП-11")</f>
        <v>Плеханово-51Га_ГП-11</v>
      </c>
      <c r="B114" s="168" t="str">
        <f>IFERROR(__xludf.DUMMYFUNCTION("""COMPUTED_VALUE"""),"Плеханово-51Га")</f>
        <v>Плеханово-51Га</v>
      </c>
      <c r="C114" s="168" t="str">
        <f>IFERROR(__xludf.DUMMYFUNCTION("""COMPUTED_VALUE"""),"ГП-11")</f>
        <v>ГП-11</v>
      </c>
      <c r="D114" s="168" t="str">
        <f>IFERROR(__xludf.DUMMYFUNCTION("""COMPUTED_VALUE"""),"ГП")</f>
        <v>ГП</v>
      </c>
      <c r="E114" s="168">
        <f>IFERROR(__xludf.DUMMYFUNCTION("""COMPUTED_VALUE"""),11.0)</f>
        <v>11</v>
      </c>
      <c r="F114" s="168" t="str">
        <f>IFERROR(__xludf.DUMMYFUNCTION("""COMPUTED_VALUE"""),"🏠")</f>
        <v>🏠</v>
      </c>
      <c r="G114" s="170" t="str">
        <f>IFERROR(__xludf.DUMMYFUNCTION("""COMPUTED_VALUE"""),"Тюмень")</f>
        <v>Тюмень</v>
      </c>
      <c r="H114" s="168" t="str">
        <f>IFERROR(__xludf.DUMMYFUNCTION("""COMPUTED_VALUE"""),"Комфорт")</f>
        <v>Комфорт</v>
      </c>
      <c r="I114" s="168" t="str">
        <f>IFERROR(__xludf.DUMMYFUNCTION("""COMPUTED_VALUE"""),"Ростов-на-Дону")</f>
        <v>Ростов-на-Дону</v>
      </c>
      <c r="J114" s="170">
        <f>IFERROR(__xludf.DUMMYFUNCTION("""COMPUTED_VALUE"""),44951.0)</f>
        <v>44951</v>
      </c>
      <c r="K114" s="168">
        <f>IFERROR(__xludf.DUMMYFUNCTION("""COMPUTED_VALUE"""),19417.0)</f>
        <v>19417</v>
      </c>
      <c r="L114" s="171" t="str">
        <f>IFERROR(__xludf.DUMMYFUNCTION("""COMPUTED_VALUE"""),"В работе")</f>
        <v>В работе</v>
      </c>
      <c r="M114" s="172">
        <f>IFERROR(__xludf.DUMMYFUNCTION("""COMPUTED_VALUE"""),100000.0)</f>
        <v>100000</v>
      </c>
      <c r="P114" s="168"/>
      <c r="Q114" s="168"/>
    </row>
    <row r="115">
      <c r="A115" s="168" t="str">
        <f>IFERROR(__xludf.DUMMYFUNCTION("""COMPUTED_VALUE"""),"Плеханово-51Га_ГП-12")</f>
        <v>Плеханово-51Га_ГП-12</v>
      </c>
      <c r="B115" s="168" t="str">
        <f>IFERROR(__xludf.DUMMYFUNCTION("""COMPUTED_VALUE"""),"Плеханово-51Га")</f>
        <v>Плеханово-51Га</v>
      </c>
      <c r="C115" s="168" t="str">
        <f>IFERROR(__xludf.DUMMYFUNCTION("""COMPUTED_VALUE"""),"ГП-12")</f>
        <v>ГП-12</v>
      </c>
      <c r="D115" s="168" t="str">
        <f>IFERROR(__xludf.DUMMYFUNCTION("""COMPUTED_VALUE"""),"ГП")</f>
        <v>ГП</v>
      </c>
      <c r="E115" s="168">
        <f>IFERROR(__xludf.DUMMYFUNCTION("""COMPUTED_VALUE"""),12.0)</f>
        <v>12</v>
      </c>
      <c r="F115" s="168" t="str">
        <f>IFERROR(__xludf.DUMMYFUNCTION("""COMPUTED_VALUE"""),"🏠")</f>
        <v>🏠</v>
      </c>
      <c r="G115" s="170" t="str">
        <f>IFERROR(__xludf.DUMMYFUNCTION("""COMPUTED_VALUE"""),"Тюмень")</f>
        <v>Тюмень</v>
      </c>
      <c r="H115" s="168" t="str">
        <f>IFERROR(__xludf.DUMMYFUNCTION("""COMPUTED_VALUE"""),"Комфорт")</f>
        <v>Комфорт</v>
      </c>
      <c r="I115" s="168" t="str">
        <f>IFERROR(__xludf.DUMMYFUNCTION("""COMPUTED_VALUE"""),"Ростов-на-Дону")</f>
        <v>Ростов-на-Дону</v>
      </c>
      <c r="J115" s="170">
        <f>IFERROR(__xludf.DUMMYFUNCTION("""COMPUTED_VALUE"""),44951.0)</f>
        <v>44951</v>
      </c>
      <c r="K115" s="168">
        <f>IFERROR(__xludf.DUMMYFUNCTION("""COMPUTED_VALUE"""),31572.0)</f>
        <v>31572</v>
      </c>
      <c r="L115" s="171" t="str">
        <f>IFERROR(__xludf.DUMMYFUNCTION("""COMPUTED_VALUE"""),"В работе")</f>
        <v>В работе</v>
      </c>
      <c r="M115" s="172">
        <f>IFERROR(__xludf.DUMMYFUNCTION("""COMPUTED_VALUE"""),100000.0)</f>
        <v>100000</v>
      </c>
      <c r="P115" s="168"/>
      <c r="Q115" s="168"/>
    </row>
    <row r="116">
      <c r="A116" s="168" t="str">
        <f>IFERROR(__xludf.DUMMYFUNCTION("""COMPUTED_VALUE"""),"Плеханово-51Га_ГП-13")</f>
        <v>Плеханово-51Га_ГП-13</v>
      </c>
      <c r="B116" s="168" t="str">
        <f>IFERROR(__xludf.DUMMYFUNCTION("""COMPUTED_VALUE"""),"Плеханово-51Га")</f>
        <v>Плеханово-51Га</v>
      </c>
      <c r="C116" s="168" t="str">
        <f>IFERROR(__xludf.DUMMYFUNCTION("""COMPUTED_VALUE"""),"ГП-13")</f>
        <v>ГП-13</v>
      </c>
      <c r="D116" s="168" t="str">
        <f>IFERROR(__xludf.DUMMYFUNCTION("""COMPUTED_VALUE"""),"ГП")</f>
        <v>ГП</v>
      </c>
      <c r="E116" s="168">
        <f>IFERROR(__xludf.DUMMYFUNCTION("""COMPUTED_VALUE"""),13.0)</f>
        <v>13</v>
      </c>
      <c r="F116" s="168" t="str">
        <f>IFERROR(__xludf.DUMMYFUNCTION("""COMPUTED_VALUE"""),"🏠")</f>
        <v>🏠</v>
      </c>
      <c r="G116" s="170" t="str">
        <f>IFERROR(__xludf.DUMMYFUNCTION("""COMPUTED_VALUE"""),"Тюмень")</f>
        <v>Тюмень</v>
      </c>
      <c r="H116" s="168" t="str">
        <f>IFERROR(__xludf.DUMMYFUNCTION("""COMPUTED_VALUE"""),"Комфорт")</f>
        <v>Комфорт</v>
      </c>
      <c r="I116" s="168" t="str">
        <f>IFERROR(__xludf.DUMMYFUNCTION("""COMPUTED_VALUE"""),"Внешний")</f>
        <v>Внешний</v>
      </c>
      <c r="J116" s="170">
        <f>IFERROR(__xludf.DUMMYFUNCTION("""COMPUTED_VALUE"""),44951.0)</f>
        <v>44951</v>
      </c>
      <c r="K116" s="168">
        <f>IFERROR(__xludf.DUMMYFUNCTION("""COMPUTED_VALUE"""),21045.3)</f>
        <v>21045.3</v>
      </c>
      <c r="L116" s="171" t="str">
        <f>IFERROR(__xludf.DUMMYFUNCTION("""COMPUTED_VALUE"""),"В работе")</f>
        <v>В работе</v>
      </c>
      <c r="M116" s="172">
        <f>IFERROR(__xludf.DUMMYFUNCTION("""COMPUTED_VALUE"""),100000.0)</f>
        <v>100000</v>
      </c>
      <c r="P116" s="168"/>
      <c r="Q116" s="168"/>
    </row>
    <row r="117">
      <c r="A117" s="168" t="str">
        <f>IFERROR(__xludf.DUMMYFUNCTION("""COMPUTED_VALUE"""),"Плеханово-51Га_ГП-14")</f>
        <v>Плеханово-51Га_ГП-14</v>
      </c>
      <c r="B117" s="168" t="str">
        <f>IFERROR(__xludf.DUMMYFUNCTION("""COMPUTED_VALUE"""),"Плеханово-51Га")</f>
        <v>Плеханово-51Га</v>
      </c>
      <c r="C117" s="168" t="str">
        <f>IFERROR(__xludf.DUMMYFUNCTION("""COMPUTED_VALUE"""),"ГП-14")</f>
        <v>ГП-14</v>
      </c>
      <c r="D117" s="168" t="str">
        <f>IFERROR(__xludf.DUMMYFUNCTION("""COMPUTED_VALUE"""),"ГП")</f>
        <v>ГП</v>
      </c>
      <c r="E117" s="168">
        <f>IFERROR(__xludf.DUMMYFUNCTION("""COMPUTED_VALUE"""),14.0)</f>
        <v>14</v>
      </c>
      <c r="F117" s="168" t="str">
        <f>IFERROR(__xludf.DUMMYFUNCTION("""COMPUTED_VALUE"""),"🏠")</f>
        <v>🏠</v>
      </c>
      <c r="G117" s="170" t="str">
        <f>IFERROR(__xludf.DUMMYFUNCTION("""COMPUTED_VALUE"""),"Тюмень")</f>
        <v>Тюмень</v>
      </c>
      <c r="H117" s="168" t="str">
        <f>IFERROR(__xludf.DUMMYFUNCTION("""COMPUTED_VALUE"""),"Комфорт")</f>
        <v>Комфорт</v>
      </c>
      <c r="I117" s="168" t="str">
        <f>IFERROR(__xludf.DUMMYFUNCTION("""COMPUTED_VALUE"""),"Ростов-на-Дону")</f>
        <v>Ростов-на-Дону</v>
      </c>
      <c r="J117" s="170">
        <f>IFERROR(__xludf.DUMMYFUNCTION("""COMPUTED_VALUE"""),44951.0)</f>
        <v>44951</v>
      </c>
      <c r="K117" s="168">
        <f>IFERROR(__xludf.DUMMYFUNCTION("""COMPUTED_VALUE"""),25316.8)</f>
        <v>25316.8</v>
      </c>
      <c r="L117" s="171" t="str">
        <f>IFERROR(__xludf.DUMMYFUNCTION("""COMPUTED_VALUE"""),"В работе")</f>
        <v>В работе</v>
      </c>
      <c r="M117" s="172">
        <f>IFERROR(__xludf.DUMMYFUNCTION("""COMPUTED_VALUE"""),100000.0)</f>
        <v>100000</v>
      </c>
      <c r="P117" s="168"/>
      <c r="Q117" s="168"/>
    </row>
    <row r="118">
      <c r="A118" s="168" t="str">
        <f>IFERROR(__xludf.DUMMYFUNCTION("""COMPUTED_VALUE"""),"Плеханово-51Га_ГП-15")</f>
        <v>Плеханово-51Га_ГП-15</v>
      </c>
      <c r="B118" s="168" t="str">
        <f>IFERROR(__xludf.DUMMYFUNCTION("""COMPUTED_VALUE"""),"Плеханово-51Га")</f>
        <v>Плеханово-51Га</v>
      </c>
      <c r="C118" s="168" t="str">
        <f>IFERROR(__xludf.DUMMYFUNCTION("""COMPUTED_VALUE"""),"ГП-15")</f>
        <v>ГП-15</v>
      </c>
      <c r="D118" s="168" t="str">
        <f>IFERROR(__xludf.DUMMYFUNCTION("""COMPUTED_VALUE"""),"ГП")</f>
        <v>ГП</v>
      </c>
      <c r="E118" s="168">
        <f>IFERROR(__xludf.DUMMYFUNCTION("""COMPUTED_VALUE"""),15.0)</f>
        <v>15</v>
      </c>
      <c r="F118" s="168" t="str">
        <f>IFERROR(__xludf.DUMMYFUNCTION("""COMPUTED_VALUE"""),"🏠")</f>
        <v>🏠</v>
      </c>
      <c r="G118" s="170" t="str">
        <f>IFERROR(__xludf.DUMMYFUNCTION("""COMPUTED_VALUE"""),"Тюмень")</f>
        <v>Тюмень</v>
      </c>
      <c r="H118" s="168" t="str">
        <f>IFERROR(__xludf.DUMMYFUNCTION("""COMPUTED_VALUE"""),"Комфорт")</f>
        <v>Комфорт</v>
      </c>
      <c r="I118" s="168" t="str">
        <f>IFERROR(__xludf.DUMMYFUNCTION("""COMPUTED_VALUE"""),"Ростов-на-Дону")</f>
        <v>Ростов-на-Дону</v>
      </c>
      <c r="J118" s="170">
        <f>IFERROR(__xludf.DUMMYFUNCTION("""COMPUTED_VALUE"""),44951.0)</f>
        <v>44951</v>
      </c>
      <c r="K118" s="168">
        <f>IFERROR(__xludf.DUMMYFUNCTION("""COMPUTED_VALUE"""),24940.0)</f>
        <v>24940</v>
      </c>
      <c r="L118" s="171" t="str">
        <f>IFERROR(__xludf.DUMMYFUNCTION("""COMPUTED_VALUE"""),"В работе")</f>
        <v>В работе</v>
      </c>
      <c r="M118" s="172">
        <f>IFERROR(__xludf.DUMMYFUNCTION("""COMPUTED_VALUE"""),100000.0)</f>
        <v>100000</v>
      </c>
      <c r="P118" s="168"/>
      <c r="Q118" s="168"/>
    </row>
    <row r="119">
      <c r="A119" s="168" t="str">
        <f>IFERROR(__xludf.DUMMYFUNCTION("""COMPUTED_VALUE"""),"Плеханово-51Га_ГП-16 паркинг")</f>
        <v>Плеханово-51Га_ГП-16 паркинг</v>
      </c>
      <c r="B119" s="168" t="str">
        <f>IFERROR(__xludf.DUMMYFUNCTION("""COMPUTED_VALUE"""),"Плеханово-51Га")</f>
        <v>Плеханово-51Га</v>
      </c>
      <c r="C119" s="168" t="str">
        <f>IFERROR(__xludf.DUMMYFUNCTION("""COMPUTED_VALUE"""),"ГП-16 паркинг")</f>
        <v>ГП-16 паркинг</v>
      </c>
      <c r="D119" s="168" t="str">
        <f>IFERROR(__xludf.DUMMYFUNCTION("""COMPUTED_VALUE"""),"ГП")</f>
        <v>ГП</v>
      </c>
      <c r="E119" s="168" t="str">
        <f>IFERROR(__xludf.DUMMYFUNCTION("""COMPUTED_VALUE"""),"16 паркинг")</f>
        <v>16 паркинг</v>
      </c>
      <c r="F119" s="168" t="str">
        <f>IFERROR(__xludf.DUMMYFUNCTION("""COMPUTED_VALUE"""),"🚗")</f>
        <v>🚗</v>
      </c>
      <c r="G119" s="170" t="str">
        <f>IFERROR(__xludf.DUMMYFUNCTION("""COMPUTED_VALUE"""),"Тюмень")</f>
        <v>Тюмень</v>
      </c>
      <c r="H119" s="168"/>
      <c r="I119" s="168" t="str">
        <f>IFERROR(__xludf.DUMMYFUNCTION("""COMPUTED_VALUE"""),"Ростов-на-Дону")</f>
        <v>Ростов-на-Дону</v>
      </c>
      <c r="J119" s="170">
        <f>IFERROR(__xludf.DUMMYFUNCTION("""COMPUTED_VALUE"""),44988.0)</f>
        <v>44988</v>
      </c>
      <c r="K119" s="168"/>
      <c r="L119" s="168" t="str">
        <f>IFERROR(__xludf.DUMMYFUNCTION("""COMPUTED_VALUE"""),"#N/A")</f>
        <v>#N/A</v>
      </c>
      <c r="M119" s="172">
        <f>IFERROR(__xludf.DUMMYFUNCTION("""COMPUTED_VALUE"""),100000.0)</f>
        <v>100000</v>
      </c>
      <c r="P119" s="168"/>
      <c r="Q119" s="168"/>
    </row>
    <row r="120">
      <c r="A120" s="168" t="str">
        <f>IFERROR(__xludf.DUMMYFUNCTION("""COMPUTED_VALUE"""),"Плеханово-51Га_ГП-17")</f>
        <v>Плеханово-51Га_ГП-17</v>
      </c>
      <c r="B120" s="168" t="str">
        <f>IFERROR(__xludf.DUMMYFUNCTION("""COMPUTED_VALUE"""),"Плеханово-51Га")</f>
        <v>Плеханово-51Га</v>
      </c>
      <c r="C120" s="168" t="str">
        <f>IFERROR(__xludf.DUMMYFUNCTION("""COMPUTED_VALUE"""),"ГП-17")</f>
        <v>ГП-17</v>
      </c>
      <c r="D120" s="168" t="str">
        <f>IFERROR(__xludf.DUMMYFUNCTION("""COMPUTED_VALUE"""),"ГП")</f>
        <v>ГП</v>
      </c>
      <c r="E120" s="168">
        <f>IFERROR(__xludf.DUMMYFUNCTION("""COMPUTED_VALUE"""),17.0)</f>
        <v>17</v>
      </c>
      <c r="F120" s="168" t="str">
        <f>IFERROR(__xludf.DUMMYFUNCTION("""COMPUTED_VALUE"""),"🏠")</f>
        <v>🏠</v>
      </c>
      <c r="G120" s="170" t="str">
        <f>IFERROR(__xludf.DUMMYFUNCTION("""COMPUTED_VALUE"""),"Тюмень")</f>
        <v>Тюмень</v>
      </c>
      <c r="H120" s="168" t="str">
        <f>IFERROR(__xludf.DUMMYFUNCTION("""COMPUTED_VALUE"""),"Комфорт")</f>
        <v>Комфорт</v>
      </c>
      <c r="I120" s="168" t="str">
        <f>IFERROR(__xludf.DUMMYFUNCTION("""COMPUTED_VALUE"""),"Ростов-на-Дону")</f>
        <v>Ростов-на-Дону</v>
      </c>
      <c r="J120" s="170">
        <f>IFERROR(__xludf.DUMMYFUNCTION("""COMPUTED_VALUE"""),44951.0)</f>
        <v>44951</v>
      </c>
      <c r="K120" s="168">
        <f>IFERROR(__xludf.DUMMYFUNCTION("""COMPUTED_VALUE"""),24208.92)</f>
        <v>24208.92</v>
      </c>
      <c r="L120" s="171" t="str">
        <f>IFERROR(__xludf.DUMMYFUNCTION("""COMPUTED_VALUE"""),"В работе")</f>
        <v>В работе</v>
      </c>
      <c r="M120" s="172">
        <f>IFERROR(__xludf.DUMMYFUNCTION("""COMPUTED_VALUE"""),100000.0)</f>
        <v>100000</v>
      </c>
      <c r="P120" s="168"/>
      <c r="Q120" s="168"/>
    </row>
    <row r="121">
      <c r="A121" s="168" t="str">
        <f>IFERROR(__xludf.DUMMYFUNCTION("""COMPUTED_VALUE"""),"Плеханово-51Га_ГП-29")</f>
        <v>Плеханово-51Га_ГП-29</v>
      </c>
      <c r="B121" s="168" t="str">
        <f>IFERROR(__xludf.DUMMYFUNCTION("""COMPUTED_VALUE"""),"Плеханово-51Га")</f>
        <v>Плеханово-51Га</v>
      </c>
      <c r="C121" s="168" t="str">
        <f>IFERROR(__xludf.DUMMYFUNCTION("""COMPUTED_VALUE"""),"ГП-29")</f>
        <v>ГП-29</v>
      </c>
      <c r="D121" s="168" t="str">
        <f>IFERROR(__xludf.DUMMYFUNCTION("""COMPUTED_VALUE"""),"ГП")</f>
        <v>ГП</v>
      </c>
      <c r="E121" s="168">
        <f>IFERROR(__xludf.DUMMYFUNCTION("""COMPUTED_VALUE"""),29.0)</f>
        <v>29</v>
      </c>
      <c r="F121" s="168" t="str">
        <f>IFERROR(__xludf.DUMMYFUNCTION("""COMPUTED_VALUE"""),"🏭")</f>
        <v>🏭</v>
      </c>
      <c r="G121" s="170" t="str">
        <f>IFERROR(__xludf.DUMMYFUNCTION("""COMPUTED_VALUE"""),"Тюмень")</f>
        <v>Тюмень</v>
      </c>
      <c r="H121" s="168"/>
      <c r="I121" s="168" t="str">
        <f>IFERROR(__xludf.DUMMYFUNCTION("""COMPUTED_VALUE"""),"Внешний")</f>
        <v>Внешний</v>
      </c>
      <c r="J121" s="170">
        <f>IFERROR(__xludf.DUMMYFUNCTION("""COMPUTED_VALUE"""),44988.0)</f>
        <v>44988</v>
      </c>
      <c r="K121" s="168">
        <f>IFERROR(__xludf.DUMMYFUNCTION("""COMPUTED_VALUE"""),0.0)</f>
        <v>0</v>
      </c>
      <c r="L121" s="168" t="str">
        <f>IFERROR(__xludf.DUMMYFUNCTION("""COMPUTED_VALUE"""),"#N/A")</f>
        <v>#N/A</v>
      </c>
      <c r="M121" s="172">
        <f>IFERROR(__xludf.DUMMYFUNCTION("""COMPUTED_VALUE"""),100000.0)</f>
        <v>100000</v>
      </c>
      <c r="P121" s="168"/>
      <c r="Q121" s="168"/>
    </row>
    <row r="122">
      <c r="A122" s="168" t="str">
        <f>IFERROR(__xludf.DUMMYFUNCTION("""COMPUTED_VALUE"""),"Плеханово-51Га_ГП-18")</f>
        <v>Плеханово-51Га_ГП-18</v>
      </c>
      <c r="B122" s="168" t="str">
        <f>IFERROR(__xludf.DUMMYFUNCTION("""COMPUTED_VALUE"""),"Плеханово-51Га")</f>
        <v>Плеханово-51Га</v>
      </c>
      <c r="C122" s="168" t="str">
        <f>IFERROR(__xludf.DUMMYFUNCTION("""COMPUTED_VALUE"""),"ГП-18")</f>
        <v>ГП-18</v>
      </c>
      <c r="D122" s="168" t="str">
        <f>IFERROR(__xludf.DUMMYFUNCTION("""COMPUTED_VALUE"""),"ГП")</f>
        <v>ГП</v>
      </c>
      <c r="E122" s="168">
        <f>IFERROR(__xludf.DUMMYFUNCTION("""COMPUTED_VALUE"""),18.0)</f>
        <v>18</v>
      </c>
      <c r="F122" s="168" t="str">
        <f>IFERROR(__xludf.DUMMYFUNCTION("""COMPUTED_VALUE"""),"🏠")</f>
        <v>🏠</v>
      </c>
      <c r="G122" s="170" t="str">
        <f>IFERROR(__xludf.DUMMYFUNCTION("""COMPUTED_VALUE"""),"Тюмень")</f>
        <v>Тюмень</v>
      </c>
      <c r="H122" s="168" t="str">
        <f>IFERROR(__xludf.DUMMYFUNCTION("""COMPUTED_VALUE"""),"Комфорт")</f>
        <v>Комфорт</v>
      </c>
      <c r="I122" s="168" t="str">
        <f>IFERROR(__xludf.DUMMYFUNCTION("""COMPUTED_VALUE"""),"Ростов-на-Дону")</f>
        <v>Ростов-на-Дону</v>
      </c>
      <c r="J122" s="170">
        <f>IFERROR(__xludf.DUMMYFUNCTION("""COMPUTED_VALUE"""),44951.0)</f>
        <v>44951</v>
      </c>
      <c r="K122" s="168">
        <f>IFERROR(__xludf.DUMMYFUNCTION("""COMPUTED_VALUE"""),7044.8)</f>
        <v>7044.8</v>
      </c>
      <c r="L122" s="171" t="str">
        <f>IFERROR(__xludf.DUMMYFUNCTION("""COMPUTED_VALUE"""),"В работе")</f>
        <v>В работе</v>
      </c>
      <c r="M122" s="172">
        <f>IFERROR(__xludf.DUMMYFUNCTION("""COMPUTED_VALUE"""),100000.0)</f>
        <v>100000</v>
      </c>
      <c r="P122" s="168"/>
      <c r="Q122" s="168"/>
    </row>
    <row r="123">
      <c r="A123" s="168" t="str">
        <f>IFERROR(__xludf.DUMMYFUNCTION("""COMPUTED_VALUE"""),"Плеханово-51Га_ГП-19")</f>
        <v>Плеханово-51Га_ГП-19</v>
      </c>
      <c r="B123" s="168" t="str">
        <f>IFERROR(__xludf.DUMMYFUNCTION("""COMPUTED_VALUE"""),"Плеханово-51Га")</f>
        <v>Плеханово-51Га</v>
      </c>
      <c r="C123" s="168" t="str">
        <f>IFERROR(__xludf.DUMMYFUNCTION("""COMPUTED_VALUE"""),"ГП-19")</f>
        <v>ГП-19</v>
      </c>
      <c r="D123" s="168" t="str">
        <f>IFERROR(__xludf.DUMMYFUNCTION("""COMPUTED_VALUE"""),"ГП")</f>
        <v>ГП</v>
      </c>
      <c r="E123" s="168">
        <f>IFERROR(__xludf.DUMMYFUNCTION("""COMPUTED_VALUE"""),19.0)</f>
        <v>19</v>
      </c>
      <c r="F123" s="168" t="str">
        <f>IFERROR(__xludf.DUMMYFUNCTION("""COMPUTED_VALUE"""),"🏠")</f>
        <v>🏠</v>
      </c>
      <c r="G123" s="170" t="str">
        <f>IFERROR(__xludf.DUMMYFUNCTION("""COMPUTED_VALUE"""),"Тюмень")</f>
        <v>Тюмень</v>
      </c>
      <c r="H123" s="168" t="str">
        <f>IFERROR(__xludf.DUMMYFUNCTION("""COMPUTED_VALUE"""),"Комфорт")</f>
        <v>Комфорт</v>
      </c>
      <c r="I123" s="168" t="str">
        <f>IFERROR(__xludf.DUMMYFUNCTION("""COMPUTED_VALUE"""),"Ростов-на-Дону")</f>
        <v>Ростов-на-Дону</v>
      </c>
      <c r="J123" s="170">
        <f>IFERROR(__xludf.DUMMYFUNCTION("""COMPUTED_VALUE"""),44951.0)</f>
        <v>44951</v>
      </c>
      <c r="K123" s="168">
        <f>IFERROR(__xludf.DUMMYFUNCTION("""COMPUTED_VALUE"""),12649.5)</f>
        <v>12649.5</v>
      </c>
      <c r="L123" s="171" t="str">
        <f>IFERROR(__xludf.DUMMYFUNCTION("""COMPUTED_VALUE"""),"В работе")</f>
        <v>В работе</v>
      </c>
      <c r="M123" s="172">
        <f>IFERROR(__xludf.DUMMYFUNCTION("""COMPUTED_VALUE"""),100000.0)</f>
        <v>100000</v>
      </c>
      <c r="P123" s="168"/>
      <c r="Q123" s="168"/>
    </row>
    <row r="124">
      <c r="A124" s="168" t="str">
        <f>IFERROR(__xludf.DUMMYFUNCTION("""COMPUTED_VALUE"""),"Плеханово-51Га_ГП-20")</f>
        <v>Плеханово-51Га_ГП-20</v>
      </c>
      <c r="B124" s="168" t="str">
        <f>IFERROR(__xludf.DUMMYFUNCTION("""COMPUTED_VALUE"""),"Плеханово-51Га")</f>
        <v>Плеханово-51Га</v>
      </c>
      <c r="C124" s="168" t="str">
        <f>IFERROR(__xludf.DUMMYFUNCTION("""COMPUTED_VALUE"""),"ГП-20")</f>
        <v>ГП-20</v>
      </c>
      <c r="D124" s="168" t="str">
        <f>IFERROR(__xludf.DUMMYFUNCTION("""COMPUTED_VALUE"""),"ГП")</f>
        <v>ГП</v>
      </c>
      <c r="E124" s="168">
        <f>IFERROR(__xludf.DUMMYFUNCTION("""COMPUTED_VALUE"""),20.0)</f>
        <v>20</v>
      </c>
      <c r="F124" s="168" t="str">
        <f>IFERROR(__xludf.DUMMYFUNCTION("""COMPUTED_VALUE"""),"🏠")</f>
        <v>🏠</v>
      </c>
      <c r="G124" s="170" t="str">
        <f>IFERROR(__xludf.DUMMYFUNCTION("""COMPUTED_VALUE"""),"Тюмень")</f>
        <v>Тюмень</v>
      </c>
      <c r="H124" s="168" t="str">
        <f>IFERROR(__xludf.DUMMYFUNCTION("""COMPUTED_VALUE"""),"Комфорт")</f>
        <v>Комфорт</v>
      </c>
      <c r="I124" s="168" t="str">
        <f>IFERROR(__xludf.DUMMYFUNCTION("""COMPUTED_VALUE"""),"Тюмень")</f>
        <v>Тюмень</v>
      </c>
      <c r="J124" s="170">
        <f>IFERROR(__xludf.DUMMYFUNCTION("""COMPUTED_VALUE"""),44951.0)</f>
        <v>44951</v>
      </c>
      <c r="K124" s="168">
        <f>IFERROR(__xludf.DUMMYFUNCTION("""COMPUTED_VALUE"""),13529.1)</f>
        <v>13529.1</v>
      </c>
      <c r="L124" s="171" t="str">
        <f>IFERROR(__xludf.DUMMYFUNCTION("""COMPUTED_VALUE"""),"В работе")</f>
        <v>В работе</v>
      </c>
      <c r="M124" s="172">
        <f>IFERROR(__xludf.DUMMYFUNCTION("""COMPUTED_VALUE"""),100000.0)</f>
        <v>100000</v>
      </c>
      <c r="P124" s="168"/>
      <c r="Q124" s="168"/>
    </row>
    <row r="125">
      <c r="A125" s="168" t="str">
        <f>IFERROR(__xludf.DUMMYFUNCTION("""COMPUTED_VALUE"""),"Плеханово-51Га_ГП-21")</f>
        <v>Плеханово-51Га_ГП-21</v>
      </c>
      <c r="B125" s="168" t="str">
        <f>IFERROR(__xludf.DUMMYFUNCTION("""COMPUTED_VALUE"""),"Плеханово-51Га")</f>
        <v>Плеханово-51Га</v>
      </c>
      <c r="C125" s="168" t="str">
        <f>IFERROR(__xludf.DUMMYFUNCTION("""COMPUTED_VALUE"""),"ГП-21")</f>
        <v>ГП-21</v>
      </c>
      <c r="D125" s="168" t="str">
        <f>IFERROR(__xludf.DUMMYFUNCTION("""COMPUTED_VALUE"""),"ГП")</f>
        <v>ГП</v>
      </c>
      <c r="E125" s="168">
        <f>IFERROR(__xludf.DUMMYFUNCTION("""COMPUTED_VALUE"""),21.0)</f>
        <v>21</v>
      </c>
      <c r="F125" s="168" t="str">
        <f>IFERROR(__xludf.DUMMYFUNCTION("""COMPUTED_VALUE"""),"🏠")</f>
        <v>🏠</v>
      </c>
      <c r="G125" s="170" t="str">
        <f>IFERROR(__xludf.DUMMYFUNCTION("""COMPUTED_VALUE"""),"Тюмень")</f>
        <v>Тюмень</v>
      </c>
      <c r="H125" s="168" t="str">
        <f>IFERROR(__xludf.DUMMYFUNCTION("""COMPUTED_VALUE"""),"Комфорт")</f>
        <v>Комфорт</v>
      </c>
      <c r="I125" s="168" t="str">
        <f>IFERROR(__xludf.DUMMYFUNCTION("""COMPUTED_VALUE"""),"Внешний")</f>
        <v>Внешний</v>
      </c>
      <c r="J125" s="170">
        <f>IFERROR(__xludf.DUMMYFUNCTION("""COMPUTED_VALUE"""),44951.0)</f>
        <v>44951</v>
      </c>
      <c r="K125" s="168">
        <f>IFERROR(__xludf.DUMMYFUNCTION("""COMPUTED_VALUE"""),25071.0)</f>
        <v>25071</v>
      </c>
      <c r="L125" s="171" t="str">
        <f>IFERROR(__xludf.DUMMYFUNCTION("""COMPUTED_VALUE"""),"В работе")</f>
        <v>В работе</v>
      </c>
      <c r="M125" s="172">
        <f>IFERROR(__xludf.DUMMYFUNCTION("""COMPUTED_VALUE"""),100000.0)</f>
        <v>100000</v>
      </c>
      <c r="P125" s="168"/>
      <c r="Q125" s="168"/>
    </row>
    <row r="126">
      <c r="A126" s="168" t="str">
        <f>IFERROR(__xludf.DUMMYFUNCTION("""COMPUTED_VALUE"""),"Плеханово-51Га_ГП-22 паркинг")</f>
        <v>Плеханово-51Га_ГП-22 паркинг</v>
      </c>
      <c r="B126" s="168" t="str">
        <f>IFERROR(__xludf.DUMMYFUNCTION("""COMPUTED_VALUE"""),"Плеханово-51Га")</f>
        <v>Плеханово-51Га</v>
      </c>
      <c r="C126" s="168" t="str">
        <f>IFERROR(__xludf.DUMMYFUNCTION("""COMPUTED_VALUE"""),"ГП-22 паркинг")</f>
        <v>ГП-22 паркинг</v>
      </c>
      <c r="D126" s="168" t="str">
        <f>IFERROR(__xludf.DUMMYFUNCTION("""COMPUTED_VALUE"""),"ГП")</f>
        <v>ГП</v>
      </c>
      <c r="E126" s="168" t="str">
        <f>IFERROR(__xludf.DUMMYFUNCTION("""COMPUTED_VALUE"""),"22 паркинг")</f>
        <v>22 паркинг</v>
      </c>
      <c r="F126" s="168" t="str">
        <f>IFERROR(__xludf.DUMMYFUNCTION("""COMPUTED_VALUE"""),"🚗")</f>
        <v>🚗</v>
      </c>
      <c r="G126" s="170" t="str">
        <f>IFERROR(__xludf.DUMMYFUNCTION("""COMPUTED_VALUE"""),"Тюмень")</f>
        <v>Тюмень</v>
      </c>
      <c r="H126" s="168"/>
      <c r="I126" s="168" t="str">
        <f>IFERROR(__xludf.DUMMYFUNCTION("""COMPUTED_VALUE"""),"Ростов-на-Дону")</f>
        <v>Ростов-на-Дону</v>
      </c>
      <c r="J126" s="170">
        <f>IFERROR(__xludf.DUMMYFUNCTION("""COMPUTED_VALUE"""),44988.0)</f>
        <v>44988</v>
      </c>
      <c r="K126" s="168"/>
      <c r="L126" s="168" t="str">
        <f>IFERROR(__xludf.DUMMYFUNCTION("""COMPUTED_VALUE"""),"#N/A")</f>
        <v>#N/A</v>
      </c>
      <c r="M126" s="172">
        <f>IFERROR(__xludf.DUMMYFUNCTION("""COMPUTED_VALUE"""),100000.0)</f>
        <v>100000</v>
      </c>
      <c r="P126" s="168"/>
      <c r="Q126" s="168"/>
    </row>
    <row r="127">
      <c r="A127" s="168" t="str">
        <f>IFERROR(__xludf.DUMMYFUNCTION("""COMPUTED_VALUE"""),"Плеханово-51Га_ГП-23")</f>
        <v>Плеханово-51Га_ГП-23</v>
      </c>
      <c r="B127" s="168" t="str">
        <f>IFERROR(__xludf.DUMMYFUNCTION("""COMPUTED_VALUE"""),"Плеханово-51Га")</f>
        <v>Плеханово-51Га</v>
      </c>
      <c r="C127" s="168" t="str">
        <f>IFERROR(__xludf.DUMMYFUNCTION("""COMPUTED_VALUE"""),"ГП-23")</f>
        <v>ГП-23</v>
      </c>
      <c r="D127" s="168" t="str">
        <f>IFERROR(__xludf.DUMMYFUNCTION("""COMPUTED_VALUE"""),"ГП")</f>
        <v>ГП</v>
      </c>
      <c r="E127" s="168">
        <f>IFERROR(__xludf.DUMMYFUNCTION("""COMPUTED_VALUE"""),23.0)</f>
        <v>23</v>
      </c>
      <c r="F127" s="168" t="str">
        <f>IFERROR(__xludf.DUMMYFUNCTION("""COMPUTED_VALUE"""),"🏠")</f>
        <v>🏠</v>
      </c>
      <c r="G127" s="170" t="str">
        <f>IFERROR(__xludf.DUMMYFUNCTION("""COMPUTED_VALUE"""),"Тюмень")</f>
        <v>Тюмень</v>
      </c>
      <c r="H127" s="168" t="str">
        <f>IFERROR(__xludf.DUMMYFUNCTION("""COMPUTED_VALUE"""),"Комфорт")</f>
        <v>Комфорт</v>
      </c>
      <c r="I127" s="168" t="str">
        <f>IFERROR(__xludf.DUMMYFUNCTION("""COMPUTED_VALUE"""),"Ростов-на-Дону")</f>
        <v>Ростов-на-Дону</v>
      </c>
      <c r="J127" s="170">
        <f>IFERROR(__xludf.DUMMYFUNCTION("""COMPUTED_VALUE"""),44951.0)</f>
        <v>44951</v>
      </c>
      <c r="K127" s="168">
        <f>IFERROR(__xludf.DUMMYFUNCTION("""COMPUTED_VALUE"""),13963.0)</f>
        <v>13963</v>
      </c>
      <c r="L127" s="171" t="str">
        <f>IFERROR(__xludf.DUMMYFUNCTION("""COMPUTED_VALUE"""),"В работе")</f>
        <v>В работе</v>
      </c>
      <c r="M127" s="172">
        <f>IFERROR(__xludf.DUMMYFUNCTION("""COMPUTED_VALUE"""),100000.0)</f>
        <v>100000</v>
      </c>
      <c r="P127" s="168"/>
      <c r="Q127" s="168"/>
    </row>
    <row r="128">
      <c r="A128" s="168" t="str">
        <f>IFERROR(__xludf.DUMMYFUNCTION("""COMPUTED_VALUE"""),"Плеханово-51Га_ГП-24")</f>
        <v>Плеханово-51Га_ГП-24</v>
      </c>
      <c r="B128" s="168" t="str">
        <f>IFERROR(__xludf.DUMMYFUNCTION("""COMPUTED_VALUE"""),"Плеханово-51Га")</f>
        <v>Плеханово-51Га</v>
      </c>
      <c r="C128" s="168" t="str">
        <f>IFERROR(__xludf.DUMMYFUNCTION("""COMPUTED_VALUE"""),"ГП-24")</f>
        <v>ГП-24</v>
      </c>
      <c r="D128" s="168" t="str">
        <f>IFERROR(__xludf.DUMMYFUNCTION("""COMPUTED_VALUE"""),"ГП")</f>
        <v>ГП</v>
      </c>
      <c r="E128" s="168">
        <f>IFERROR(__xludf.DUMMYFUNCTION("""COMPUTED_VALUE"""),24.0)</f>
        <v>24</v>
      </c>
      <c r="F128" s="168" t="str">
        <f>IFERROR(__xludf.DUMMYFUNCTION("""COMPUTED_VALUE"""),"🏠")</f>
        <v>🏠</v>
      </c>
      <c r="G128" s="170" t="str">
        <f>IFERROR(__xludf.DUMMYFUNCTION("""COMPUTED_VALUE"""),"Тюмень")</f>
        <v>Тюмень</v>
      </c>
      <c r="H128" s="168" t="str">
        <f>IFERROR(__xludf.DUMMYFUNCTION("""COMPUTED_VALUE"""),"Комфорт")</f>
        <v>Комфорт</v>
      </c>
      <c r="I128" s="168" t="str">
        <f>IFERROR(__xludf.DUMMYFUNCTION("""COMPUTED_VALUE"""),"Ростов-на-Дону")</f>
        <v>Ростов-на-Дону</v>
      </c>
      <c r="J128" s="170">
        <f>IFERROR(__xludf.DUMMYFUNCTION("""COMPUTED_VALUE"""),44951.0)</f>
        <v>44951</v>
      </c>
      <c r="K128" s="168">
        <f>IFERROR(__xludf.DUMMYFUNCTION("""COMPUTED_VALUE"""),18743.0)</f>
        <v>18743</v>
      </c>
      <c r="L128" s="171" t="str">
        <f>IFERROR(__xludf.DUMMYFUNCTION("""COMPUTED_VALUE"""),"В работе")</f>
        <v>В работе</v>
      </c>
      <c r="M128" s="172">
        <f>IFERROR(__xludf.DUMMYFUNCTION("""COMPUTED_VALUE"""),100000.0)</f>
        <v>100000</v>
      </c>
      <c r="P128" s="168"/>
      <c r="Q128" s="168"/>
    </row>
    <row r="129">
      <c r="A129" s="168" t="str">
        <f>IFERROR(__xludf.DUMMYFUNCTION("""COMPUTED_VALUE"""),"Плеханово-51Га_ГП-25")</f>
        <v>Плеханово-51Га_ГП-25</v>
      </c>
      <c r="B129" s="168" t="str">
        <f>IFERROR(__xludf.DUMMYFUNCTION("""COMPUTED_VALUE"""),"Плеханово-51Га")</f>
        <v>Плеханово-51Га</v>
      </c>
      <c r="C129" s="168" t="str">
        <f>IFERROR(__xludf.DUMMYFUNCTION("""COMPUTED_VALUE"""),"ГП-25")</f>
        <v>ГП-25</v>
      </c>
      <c r="D129" s="168" t="str">
        <f>IFERROR(__xludf.DUMMYFUNCTION("""COMPUTED_VALUE"""),"ГП")</f>
        <v>ГП</v>
      </c>
      <c r="E129" s="168">
        <f>IFERROR(__xludf.DUMMYFUNCTION("""COMPUTED_VALUE"""),25.0)</f>
        <v>25</v>
      </c>
      <c r="F129" s="168" t="str">
        <f>IFERROR(__xludf.DUMMYFUNCTION("""COMPUTED_VALUE"""),"🏠")</f>
        <v>🏠</v>
      </c>
      <c r="G129" s="170" t="str">
        <f>IFERROR(__xludf.DUMMYFUNCTION("""COMPUTED_VALUE"""),"Тюмень")</f>
        <v>Тюмень</v>
      </c>
      <c r="H129" s="168" t="str">
        <f>IFERROR(__xludf.DUMMYFUNCTION("""COMPUTED_VALUE"""),"Комфорт")</f>
        <v>Комфорт</v>
      </c>
      <c r="I129" s="168" t="str">
        <f>IFERROR(__xludf.DUMMYFUNCTION("""COMPUTED_VALUE"""),"Краснодар")</f>
        <v>Краснодар</v>
      </c>
      <c r="J129" s="170">
        <f>IFERROR(__xludf.DUMMYFUNCTION("""COMPUTED_VALUE"""),44951.0)</f>
        <v>44951</v>
      </c>
      <c r="K129" s="168">
        <f>IFERROR(__xludf.DUMMYFUNCTION("""COMPUTED_VALUE"""),5040.0)</f>
        <v>5040</v>
      </c>
      <c r="L129" s="171" t="str">
        <f>IFERROR(__xludf.DUMMYFUNCTION("""COMPUTED_VALUE"""),"Новые")</f>
        <v>Новые</v>
      </c>
      <c r="M129" s="172">
        <f>IFERROR(__xludf.DUMMYFUNCTION("""COMPUTED_VALUE"""),100000.0)</f>
        <v>100000</v>
      </c>
      <c r="P129" s="168"/>
      <c r="Q129" s="168"/>
    </row>
    <row r="130">
      <c r="A130" s="168" t="str">
        <f>IFERROR(__xludf.DUMMYFUNCTION("""COMPUTED_VALUE"""),"Плеханово-51Га_ГП-26")</f>
        <v>Плеханово-51Га_ГП-26</v>
      </c>
      <c r="B130" s="168" t="str">
        <f>IFERROR(__xludf.DUMMYFUNCTION("""COMPUTED_VALUE"""),"Плеханово-51Га")</f>
        <v>Плеханово-51Га</v>
      </c>
      <c r="C130" s="168" t="str">
        <f>IFERROR(__xludf.DUMMYFUNCTION("""COMPUTED_VALUE"""),"ГП-26")</f>
        <v>ГП-26</v>
      </c>
      <c r="D130" s="168" t="str">
        <f>IFERROR(__xludf.DUMMYFUNCTION("""COMPUTED_VALUE"""),"ГП")</f>
        <v>ГП</v>
      </c>
      <c r="E130" s="168">
        <f>IFERROR(__xludf.DUMMYFUNCTION("""COMPUTED_VALUE"""),26.0)</f>
        <v>26</v>
      </c>
      <c r="F130" s="168" t="str">
        <f>IFERROR(__xludf.DUMMYFUNCTION("""COMPUTED_VALUE"""),"🏠")</f>
        <v>🏠</v>
      </c>
      <c r="G130" s="170" t="str">
        <f>IFERROR(__xludf.DUMMYFUNCTION("""COMPUTED_VALUE"""),"Тюмень")</f>
        <v>Тюмень</v>
      </c>
      <c r="H130" s="168" t="str">
        <f>IFERROR(__xludf.DUMMYFUNCTION("""COMPUTED_VALUE"""),"Комфорт")</f>
        <v>Комфорт</v>
      </c>
      <c r="I130" s="168" t="str">
        <f>IFERROR(__xludf.DUMMYFUNCTION("""COMPUTED_VALUE"""),"Краснодар")</f>
        <v>Краснодар</v>
      </c>
      <c r="J130" s="170">
        <f>IFERROR(__xludf.DUMMYFUNCTION("""COMPUTED_VALUE"""),44951.0)</f>
        <v>44951</v>
      </c>
      <c r="K130" s="168">
        <f>IFERROR(__xludf.DUMMYFUNCTION("""COMPUTED_VALUE"""),18514.0)</f>
        <v>18514</v>
      </c>
      <c r="L130" s="171" t="str">
        <f>IFERROR(__xludf.DUMMYFUNCTION("""COMPUTED_VALUE"""),"Новые")</f>
        <v>Новые</v>
      </c>
      <c r="M130" s="172">
        <f>IFERROR(__xludf.DUMMYFUNCTION("""COMPUTED_VALUE"""),100000.0)</f>
        <v>100000</v>
      </c>
      <c r="P130" s="168"/>
      <c r="Q130" s="168"/>
    </row>
    <row r="131">
      <c r="A131" s="168" t="str">
        <f>IFERROR(__xludf.DUMMYFUNCTION("""COMPUTED_VALUE"""),"Плеханово-51Га_ГП-27")</f>
        <v>Плеханово-51Га_ГП-27</v>
      </c>
      <c r="B131" s="168" t="str">
        <f>IFERROR(__xludf.DUMMYFUNCTION("""COMPUTED_VALUE"""),"Плеханово-51Га")</f>
        <v>Плеханово-51Га</v>
      </c>
      <c r="C131" s="168" t="str">
        <f>IFERROR(__xludf.DUMMYFUNCTION("""COMPUTED_VALUE"""),"ГП-27")</f>
        <v>ГП-27</v>
      </c>
      <c r="D131" s="168" t="str">
        <f>IFERROR(__xludf.DUMMYFUNCTION("""COMPUTED_VALUE"""),"ГП")</f>
        <v>ГП</v>
      </c>
      <c r="E131" s="168">
        <f>IFERROR(__xludf.DUMMYFUNCTION("""COMPUTED_VALUE"""),27.0)</f>
        <v>27</v>
      </c>
      <c r="F131" s="168" t="str">
        <f>IFERROR(__xludf.DUMMYFUNCTION("""COMPUTED_VALUE"""),"🏠")</f>
        <v>🏠</v>
      </c>
      <c r="G131" s="170" t="str">
        <f>IFERROR(__xludf.DUMMYFUNCTION("""COMPUTED_VALUE"""),"Тюмень")</f>
        <v>Тюмень</v>
      </c>
      <c r="H131" s="168" t="str">
        <f>IFERROR(__xludf.DUMMYFUNCTION("""COMPUTED_VALUE"""),"Комфорт")</f>
        <v>Комфорт</v>
      </c>
      <c r="I131" s="168" t="str">
        <f>IFERROR(__xludf.DUMMYFUNCTION("""COMPUTED_VALUE"""),"Краснодар")</f>
        <v>Краснодар</v>
      </c>
      <c r="J131" s="170">
        <f>IFERROR(__xludf.DUMMYFUNCTION("""COMPUTED_VALUE"""),44951.0)</f>
        <v>44951</v>
      </c>
      <c r="K131" s="168">
        <f>IFERROR(__xludf.DUMMYFUNCTION("""COMPUTED_VALUE"""),16574.7)</f>
        <v>16574.7</v>
      </c>
      <c r="L131" s="171" t="str">
        <f>IFERROR(__xludf.DUMMYFUNCTION("""COMPUTED_VALUE"""),"Новые")</f>
        <v>Новые</v>
      </c>
      <c r="M131" s="172">
        <f>IFERROR(__xludf.DUMMYFUNCTION("""COMPUTED_VALUE"""),100000.0)</f>
        <v>100000</v>
      </c>
      <c r="P131" s="168"/>
      <c r="Q131" s="168"/>
    </row>
    <row r="132">
      <c r="A132" s="168" t="str">
        <f>IFERROR(__xludf.DUMMYFUNCTION("""COMPUTED_VALUE"""),"Плеханово-51Га_ГП-28")</f>
        <v>Плеханово-51Га_ГП-28</v>
      </c>
      <c r="B132" s="168" t="str">
        <f>IFERROR(__xludf.DUMMYFUNCTION("""COMPUTED_VALUE"""),"Плеханово-51Га")</f>
        <v>Плеханово-51Га</v>
      </c>
      <c r="C132" s="168" t="str">
        <f>IFERROR(__xludf.DUMMYFUNCTION("""COMPUTED_VALUE"""),"ГП-28")</f>
        <v>ГП-28</v>
      </c>
      <c r="D132" s="168" t="str">
        <f>IFERROR(__xludf.DUMMYFUNCTION("""COMPUTED_VALUE"""),"ГП")</f>
        <v>ГП</v>
      </c>
      <c r="E132" s="168">
        <f>IFERROR(__xludf.DUMMYFUNCTION("""COMPUTED_VALUE"""),28.0)</f>
        <v>28</v>
      </c>
      <c r="F132" s="168" t="str">
        <f>IFERROR(__xludf.DUMMYFUNCTION("""COMPUTED_VALUE"""),"🏠")</f>
        <v>🏠</v>
      </c>
      <c r="G132" s="170" t="str">
        <f>IFERROR(__xludf.DUMMYFUNCTION("""COMPUTED_VALUE"""),"Тюмень")</f>
        <v>Тюмень</v>
      </c>
      <c r="H132" s="168" t="str">
        <f>IFERROR(__xludf.DUMMYFUNCTION("""COMPUTED_VALUE"""),"Комфорт")</f>
        <v>Комфорт</v>
      </c>
      <c r="I132" s="168" t="str">
        <f>IFERROR(__xludf.DUMMYFUNCTION("""COMPUTED_VALUE"""),"Краснодар")</f>
        <v>Краснодар</v>
      </c>
      <c r="J132" s="170">
        <f>IFERROR(__xludf.DUMMYFUNCTION("""COMPUTED_VALUE"""),44951.0)</f>
        <v>44951</v>
      </c>
      <c r="K132" s="168">
        <f>IFERROR(__xludf.DUMMYFUNCTION("""COMPUTED_VALUE"""),14524.4)</f>
        <v>14524.4</v>
      </c>
      <c r="L132" s="171" t="str">
        <f>IFERROR(__xludf.DUMMYFUNCTION("""COMPUTED_VALUE"""),"Новые")</f>
        <v>Новые</v>
      </c>
      <c r="M132" s="172">
        <f>IFERROR(__xludf.DUMMYFUNCTION("""COMPUTED_VALUE"""),100000.0)</f>
        <v>100000</v>
      </c>
      <c r="P132" s="168"/>
      <c r="Q132" s="168"/>
    </row>
    <row r="133">
      <c r="A133" s="168" t="str">
        <f>IFERROR(__xludf.DUMMYFUNCTION("""COMPUTED_VALUE"""),"Плеханово-51Га_ГП-30")</f>
        <v>Плеханово-51Га_ГП-30</v>
      </c>
      <c r="B133" s="168" t="str">
        <f>IFERROR(__xludf.DUMMYFUNCTION("""COMPUTED_VALUE"""),"Плеханово-51Га")</f>
        <v>Плеханово-51Га</v>
      </c>
      <c r="C133" s="168" t="str">
        <f>IFERROR(__xludf.DUMMYFUNCTION("""COMPUTED_VALUE"""),"ГП-30")</f>
        <v>ГП-30</v>
      </c>
      <c r="D133" s="168" t="str">
        <f>IFERROR(__xludf.DUMMYFUNCTION("""COMPUTED_VALUE"""),"ГП")</f>
        <v>ГП</v>
      </c>
      <c r="E133" s="168">
        <f>IFERROR(__xludf.DUMMYFUNCTION("""COMPUTED_VALUE"""),30.0)</f>
        <v>30</v>
      </c>
      <c r="F133" s="168" t="str">
        <f>IFERROR(__xludf.DUMMYFUNCTION("""COMPUTED_VALUE"""),"🏭")</f>
        <v>🏭</v>
      </c>
      <c r="G133" s="168" t="str">
        <f>IFERROR(__xludf.DUMMYFUNCTION("""COMPUTED_VALUE"""),"Тюмень")</f>
        <v>Тюмень</v>
      </c>
      <c r="H133" s="168"/>
      <c r="I133" s="168" t="str">
        <f>IFERROR(__xludf.DUMMYFUNCTION("""COMPUTED_VALUE"""),"Внешний")</f>
        <v>Внешний</v>
      </c>
      <c r="J133" s="170">
        <f>IFERROR(__xludf.DUMMYFUNCTION("""COMPUTED_VALUE"""),44988.0)</f>
        <v>44988</v>
      </c>
      <c r="K133" s="168">
        <f>IFERROR(__xludf.DUMMYFUNCTION("""COMPUTED_VALUE"""),0.0)</f>
        <v>0</v>
      </c>
      <c r="L133" s="168" t="str">
        <f>IFERROR(__xludf.DUMMYFUNCTION("""COMPUTED_VALUE"""),"#N/A")</f>
        <v>#N/A</v>
      </c>
      <c r="M133" s="172">
        <f>IFERROR(__xludf.DUMMYFUNCTION("""COMPUTED_VALUE"""),100000.0)</f>
        <v>100000</v>
      </c>
      <c r="P133" s="168"/>
      <c r="Q133" s="168"/>
    </row>
    <row r="134">
      <c r="A134" s="168" t="str">
        <f>IFERROR(__xludf.DUMMYFUNCTION("""COMPUTED_VALUE"""),"Ручьи_ГП-1")</f>
        <v>Ручьи_ГП-1</v>
      </c>
      <c r="B134" s="168" t="str">
        <f>IFERROR(__xludf.DUMMYFUNCTION("""COMPUTED_VALUE"""),"Ручьи")</f>
        <v>Ручьи</v>
      </c>
      <c r="C134" s="168" t="str">
        <f>IFERROR(__xludf.DUMMYFUNCTION("""COMPUTED_VALUE"""),"ГП-1")</f>
        <v>ГП-1</v>
      </c>
      <c r="D134" s="168" t="str">
        <f>IFERROR(__xludf.DUMMYFUNCTION("""COMPUTED_VALUE"""),"ГП")</f>
        <v>ГП</v>
      </c>
      <c r="E134" s="168">
        <f>IFERROR(__xludf.DUMMYFUNCTION("""COMPUTED_VALUE"""),1.0)</f>
        <v>1</v>
      </c>
      <c r="F134" s="168" t="str">
        <f>IFERROR(__xludf.DUMMYFUNCTION("""COMPUTED_VALUE"""),"🏠")</f>
        <v>🏠</v>
      </c>
      <c r="G134" s="170" t="str">
        <f>IFERROR(__xludf.DUMMYFUNCTION("""COMPUTED_VALUE"""),"Санкт-Петербург")</f>
        <v>Санкт-Петербург</v>
      </c>
      <c r="H134" s="168" t="str">
        <f>IFERROR(__xludf.DUMMYFUNCTION("""COMPUTED_VALUE"""),"Комфорт")</f>
        <v>Комфорт</v>
      </c>
      <c r="I134" s="168" t="str">
        <f>IFERROR(__xludf.DUMMYFUNCTION("""COMPUTED_VALUE"""),"Санкт-Петербург")</f>
        <v>Санкт-Петербург</v>
      </c>
      <c r="J134" s="170">
        <f>IFERROR(__xludf.DUMMYFUNCTION("""COMPUTED_VALUE"""),44988.0)</f>
        <v>44988</v>
      </c>
      <c r="K134" s="168">
        <f>IFERROR(__xludf.DUMMYFUNCTION("""COMPUTED_VALUE"""),32050.0)</f>
        <v>32050</v>
      </c>
      <c r="L134" s="171" t="str">
        <f>IFERROR(__xludf.DUMMYFUNCTION("""COMPUTED_VALUE"""),"Новые")</f>
        <v>Новые</v>
      </c>
      <c r="M134" s="172">
        <f>IFERROR(__xludf.DUMMYFUNCTION("""COMPUTED_VALUE"""),200000.0)</f>
        <v>200000</v>
      </c>
      <c r="P134" s="168"/>
      <c r="Q134" s="168"/>
    </row>
    <row r="135">
      <c r="A135" s="168" t="str">
        <f>IFERROR(__xludf.DUMMYFUNCTION("""COMPUTED_VALUE"""),"Ручьи_ГП-2")</f>
        <v>Ручьи_ГП-2</v>
      </c>
      <c r="B135" s="168" t="str">
        <f>IFERROR(__xludf.DUMMYFUNCTION("""COMPUTED_VALUE"""),"Ручьи")</f>
        <v>Ручьи</v>
      </c>
      <c r="C135" s="168" t="str">
        <f>IFERROR(__xludf.DUMMYFUNCTION("""COMPUTED_VALUE"""),"ГП-2")</f>
        <v>ГП-2</v>
      </c>
      <c r="D135" s="168" t="str">
        <f>IFERROR(__xludf.DUMMYFUNCTION("""COMPUTED_VALUE"""),"ГП")</f>
        <v>ГП</v>
      </c>
      <c r="E135" s="168">
        <f>IFERROR(__xludf.DUMMYFUNCTION("""COMPUTED_VALUE"""),2.0)</f>
        <v>2</v>
      </c>
      <c r="F135" s="168" t="str">
        <f>IFERROR(__xludf.DUMMYFUNCTION("""COMPUTED_VALUE"""),"🏠")</f>
        <v>🏠</v>
      </c>
      <c r="G135" s="170" t="str">
        <f>IFERROR(__xludf.DUMMYFUNCTION("""COMPUTED_VALUE"""),"Санкт-Петербург")</f>
        <v>Санкт-Петербург</v>
      </c>
      <c r="H135" s="168" t="str">
        <f>IFERROR(__xludf.DUMMYFUNCTION("""COMPUTED_VALUE"""),"Комфорт")</f>
        <v>Комфорт</v>
      </c>
      <c r="I135" s="168" t="str">
        <f>IFERROR(__xludf.DUMMYFUNCTION("""COMPUTED_VALUE"""),"Санкт-Петербург")</f>
        <v>Санкт-Петербург</v>
      </c>
      <c r="J135" s="170">
        <f>IFERROR(__xludf.DUMMYFUNCTION("""COMPUTED_VALUE"""),44988.0)</f>
        <v>44988</v>
      </c>
      <c r="K135" s="168">
        <f>IFERROR(__xludf.DUMMYFUNCTION("""COMPUTED_VALUE"""),32050.0)</f>
        <v>32050</v>
      </c>
      <c r="L135" s="171" t="str">
        <f>IFERROR(__xludf.DUMMYFUNCTION("""COMPUTED_VALUE"""),"Новые")</f>
        <v>Новые</v>
      </c>
      <c r="M135" s="172">
        <f>IFERROR(__xludf.DUMMYFUNCTION("""COMPUTED_VALUE"""),200000.0)</f>
        <v>200000</v>
      </c>
      <c r="P135" s="168"/>
      <c r="Q135" s="168"/>
    </row>
    <row r="136">
      <c r="A136" s="168" t="str">
        <f>IFERROR(__xludf.DUMMYFUNCTION("""COMPUTED_VALUE"""),"Ручьи_ГП-3")</f>
        <v>Ручьи_ГП-3</v>
      </c>
      <c r="B136" s="168" t="str">
        <f>IFERROR(__xludf.DUMMYFUNCTION("""COMPUTED_VALUE"""),"Ручьи")</f>
        <v>Ручьи</v>
      </c>
      <c r="C136" s="168" t="str">
        <f>IFERROR(__xludf.DUMMYFUNCTION("""COMPUTED_VALUE"""),"ГП-3")</f>
        <v>ГП-3</v>
      </c>
      <c r="D136" s="168" t="str">
        <f>IFERROR(__xludf.DUMMYFUNCTION("""COMPUTED_VALUE"""),"ГП")</f>
        <v>ГП</v>
      </c>
      <c r="E136" s="168">
        <f>IFERROR(__xludf.DUMMYFUNCTION("""COMPUTED_VALUE"""),3.0)</f>
        <v>3</v>
      </c>
      <c r="F136" s="168" t="str">
        <f>IFERROR(__xludf.DUMMYFUNCTION("""COMPUTED_VALUE"""),"🏠")</f>
        <v>🏠</v>
      </c>
      <c r="G136" s="170" t="str">
        <f>IFERROR(__xludf.DUMMYFUNCTION("""COMPUTED_VALUE"""),"Санкт-Петербург")</f>
        <v>Санкт-Петербург</v>
      </c>
      <c r="H136" s="168" t="str">
        <f>IFERROR(__xludf.DUMMYFUNCTION("""COMPUTED_VALUE"""),"Комфорт")</f>
        <v>Комфорт</v>
      </c>
      <c r="I136" s="168" t="str">
        <f>IFERROR(__xludf.DUMMYFUNCTION("""COMPUTED_VALUE"""),"Санкт-Петербург")</f>
        <v>Санкт-Петербург</v>
      </c>
      <c r="J136" s="170">
        <f>IFERROR(__xludf.DUMMYFUNCTION("""COMPUTED_VALUE"""),44988.0)</f>
        <v>44988</v>
      </c>
      <c r="K136" s="168">
        <f>IFERROR(__xludf.DUMMYFUNCTION("""COMPUTED_VALUE"""),32050.0)</f>
        <v>32050</v>
      </c>
      <c r="L136" s="171" t="str">
        <f>IFERROR(__xludf.DUMMYFUNCTION("""COMPUTED_VALUE"""),"Новые")</f>
        <v>Новые</v>
      </c>
      <c r="M136" s="172">
        <f>IFERROR(__xludf.DUMMYFUNCTION("""COMPUTED_VALUE"""),200000.0)</f>
        <v>200000</v>
      </c>
      <c r="P136" s="168"/>
      <c r="Q136" s="168"/>
    </row>
    <row r="137">
      <c r="A137" s="168" t="str">
        <f>IFERROR(__xludf.DUMMYFUNCTION("""COMPUTED_VALUE"""),"Ручьи_ГП-4")</f>
        <v>Ручьи_ГП-4</v>
      </c>
      <c r="B137" s="168" t="str">
        <f>IFERROR(__xludf.DUMMYFUNCTION("""COMPUTED_VALUE"""),"Ручьи")</f>
        <v>Ручьи</v>
      </c>
      <c r="C137" s="168" t="str">
        <f>IFERROR(__xludf.DUMMYFUNCTION("""COMPUTED_VALUE"""),"ГП-4")</f>
        <v>ГП-4</v>
      </c>
      <c r="D137" s="168" t="str">
        <f>IFERROR(__xludf.DUMMYFUNCTION("""COMPUTED_VALUE"""),"ГП")</f>
        <v>ГП</v>
      </c>
      <c r="E137" s="168">
        <f>IFERROR(__xludf.DUMMYFUNCTION("""COMPUTED_VALUE"""),4.0)</f>
        <v>4</v>
      </c>
      <c r="F137" s="168" t="str">
        <f>IFERROR(__xludf.DUMMYFUNCTION("""COMPUTED_VALUE"""),"🏠")</f>
        <v>🏠</v>
      </c>
      <c r="G137" s="170" t="str">
        <f>IFERROR(__xludf.DUMMYFUNCTION("""COMPUTED_VALUE"""),"Санкт-Петербург")</f>
        <v>Санкт-Петербург</v>
      </c>
      <c r="H137" s="168" t="str">
        <f>IFERROR(__xludf.DUMMYFUNCTION("""COMPUTED_VALUE"""),"Комфорт")</f>
        <v>Комфорт</v>
      </c>
      <c r="I137" s="168" t="str">
        <f>IFERROR(__xludf.DUMMYFUNCTION("""COMPUTED_VALUE"""),"Санкт-Петербург")</f>
        <v>Санкт-Петербург</v>
      </c>
      <c r="J137" s="170">
        <f>IFERROR(__xludf.DUMMYFUNCTION("""COMPUTED_VALUE"""),44988.0)</f>
        <v>44988</v>
      </c>
      <c r="K137" s="168">
        <f>IFERROR(__xludf.DUMMYFUNCTION("""COMPUTED_VALUE"""),32050.0)</f>
        <v>32050</v>
      </c>
      <c r="L137" s="171" t="str">
        <f>IFERROR(__xludf.DUMMYFUNCTION("""COMPUTED_VALUE"""),"Новые")</f>
        <v>Новые</v>
      </c>
      <c r="M137" s="172">
        <f>IFERROR(__xludf.DUMMYFUNCTION("""COMPUTED_VALUE"""),200000.0)</f>
        <v>200000</v>
      </c>
      <c r="P137" s="168"/>
      <c r="Q137" s="168"/>
    </row>
    <row r="138">
      <c r="A138" s="168" t="str">
        <f>IFERROR(__xludf.DUMMYFUNCTION("""COMPUTED_VALUE"""),"Ручьи_ГП-5")</f>
        <v>Ручьи_ГП-5</v>
      </c>
      <c r="B138" s="168" t="str">
        <f>IFERROR(__xludf.DUMMYFUNCTION("""COMPUTED_VALUE"""),"Ручьи")</f>
        <v>Ручьи</v>
      </c>
      <c r="C138" s="168" t="str">
        <f>IFERROR(__xludf.DUMMYFUNCTION("""COMPUTED_VALUE"""),"ГП-5")</f>
        <v>ГП-5</v>
      </c>
      <c r="D138" s="168" t="str">
        <f>IFERROR(__xludf.DUMMYFUNCTION("""COMPUTED_VALUE"""),"ГП")</f>
        <v>ГП</v>
      </c>
      <c r="E138" s="168">
        <f>IFERROR(__xludf.DUMMYFUNCTION("""COMPUTED_VALUE"""),5.0)</f>
        <v>5</v>
      </c>
      <c r="F138" s="168" t="str">
        <f>IFERROR(__xludf.DUMMYFUNCTION("""COMPUTED_VALUE"""),"🏠")</f>
        <v>🏠</v>
      </c>
      <c r="G138" s="170" t="str">
        <f>IFERROR(__xludf.DUMMYFUNCTION("""COMPUTED_VALUE"""),"Санкт-Петербург")</f>
        <v>Санкт-Петербург</v>
      </c>
      <c r="H138" s="168" t="str">
        <f>IFERROR(__xludf.DUMMYFUNCTION("""COMPUTED_VALUE"""),"Комфорт")</f>
        <v>Комфорт</v>
      </c>
      <c r="I138" s="168" t="str">
        <f>IFERROR(__xludf.DUMMYFUNCTION("""COMPUTED_VALUE"""),"Санкт-Петербург")</f>
        <v>Санкт-Петербург</v>
      </c>
      <c r="J138" s="170">
        <f>IFERROR(__xludf.DUMMYFUNCTION("""COMPUTED_VALUE"""),44988.0)</f>
        <v>44988</v>
      </c>
      <c r="K138" s="168">
        <f>IFERROR(__xludf.DUMMYFUNCTION("""COMPUTED_VALUE"""),32050.0)</f>
        <v>32050</v>
      </c>
      <c r="L138" s="171" t="str">
        <f>IFERROR(__xludf.DUMMYFUNCTION("""COMPUTED_VALUE"""),"Новые")</f>
        <v>Новые</v>
      </c>
      <c r="M138" s="172">
        <f>IFERROR(__xludf.DUMMYFUNCTION("""COMPUTED_VALUE"""),200000.0)</f>
        <v>200000</v>
      </c>
      <c r="P138" s="168"/>
      <c r="Q138" s="168"/>
    </row>
    <row r="139">
      <c r="A139" s="168" t="str">
        <f>IFERROR(__xludf.DUMMYFUNCTION("""COMPUTED_VALUE"""),"Ручьи_ГП-6")</f>
        <v>Ручьи_ГП-6</v>
      </c>
      <c r="B139" s="168" t="str">
        <f>IFERROR(__xludf.DUMMYFUNCTION("""COMPUTED_VALUE"""),"Ручьи")</f>
        <v>Ручьи</v>
      </c>
      <c r="C139" s="168" t="str">
        <f>IFERROR(__xludf.DUMMYFUNCTION("""COMPUTED_VALUE"""),"ГП-6")</f>
        <v>ГП-6</v>
      </c>
      <c r="D139" s="168" t="str">
        <f>IFERROR(__xludf.DUMMYFUNCTION("""COMPUTED_VALUE"""),"ГП")</f>
        <v>ГП</v>
      </c>
      <c r="E139" s="168">
        <f>IFERROR(__xludf.DUMMYFUNCTION("""COMPUTED_VALUE"""),6.0)</f>
        <v>6</v>
      </c>
      <c r="F139" s="168" t="str">
        <f>IFERROR(__xludf.DUMMYFUNCTION("""COMPUTED_VALUE"""),"🏠")</f>
        <v>🏠</v>
      </c>
      <c r="G139" s="170" t="str">
        <f>IFERROR(__xludf.DUMMYFUNCTION("""COMPUTED_VALUE"""),"Санкт-Петербург")</f>
        <v>Санкт-Петербург</v>
      </c>
      <c r="H139" s="168" t="str">
        <f>IFERROR(__xludf.DUMMYFUNCTION("""COMPUTED_VALUE"""),"Комфорт")</f>
        <v>Комфорт</v>
      </c>
      <c r="I139" s="168" t="str">
        <f>IFERROR(__xludf.DUMMYFUNCTION("""COMPUTED_VALUE"""),"Санкт-Петербург")</f>
        <v>Санкт-Петербург</v>
      </c>
      <c r="J139" s="170">
        <f>IFERROR(__xludf.DUMMYFUNCTION("""COMPUTED_VALUE"""),44988.0)</f>
        <v>44988</v>
      </c>
      <c r="K139" s="168"/>
      <c r="L139" s="171" t="str">
        <f>IFERROR(__xludf.DUMMYFUNCTION("""COMPUTED_VALUE"""),"Новые")</f>
        <v>Новые</v>
      </c>
      <c r="M139" s="172">
        <f>IFERROR(__xludf.DUMMYFUNCTION("""COMPUTED_VALUE"""),200000.0)</f>
        <v>200000</v>
      </c>
      <c r="P139" s="168"/>
      <c r="Q139" s="168"/>
    </row>
    <row r="140">
      <c r="A140" s="168" t="str">
        <f>IFERROR(__xludf.DUMMYFUNCTION("""COMPUTED_VALUE"""),"Ручьи_ГП-7")</f>
        <v>Ручьи_ГП-7</v>
      </c>
      <c r="B140" s="168" t="str">
        <f>IFERROR(__xludf.DUMMYFUNCTION("""COMPUTED_VALUE"""),"Ручьи")</f>
        <v>Ручьи</v>
      </c>
      <c r="C140" s="168" t="str">
        <f>IFERROR(__xludf.DUMMYFUNCTION("""COMPUTED_VALUE"""),"ГП-7")</f>
        <v>ГП-7</v>
      </c>
      <c r="D140" s="168" t="str">
        <f>IFERROR(__xludf.DUMMYFUNCTION("""COMPUTED_VALUE"""),"ГП")</f>
        <v>ГП</v>
      </c>
      <c r="E140" s="168">
        <f>IFERROR(__xludf.DUMMYFUNCTION("""COMPUTED_VALUE"""),7.0)</f>
        <v>7</v>
      </c>
      <c r="F140" s="168" t="str">
        <f>IFERROR(__xludf.DUMMYFUNCTION("""COMPUTED_VALUE"""),"🏠")</f>
        <v>🏠</v>
      </c>
      <c r="G140" s="170" t="str">
        <f>IFERROR(__xludf.DUMMYFUNCTION("""COMPUTED_VALUE"""),"Санкт-Петербург")</f>
        <v>Санкт-Петербург</v>
      </c>
      <c r="H140" s="168" t="str">
        <f>IFERROR(__xludf.DUMMYFUNCTION("""COMPUTED_VALUE"""),"Комфорт")</f>
        <v>Комфорт</v>
      </c>
      <c r="I140" s="168" t="str">
        <f>IFERROR(__xludf.DUMMYFUNCTION("""COMPUTED_VALUE"""),"Санкт-Петербург")</f>
        <v>Санкт-Петербург</v>
      </c>
      <c r="J140" s="170">
        <f>IFERROR(__xludf.DUMMYFUNCTION("""COMPUTED_VALUE"""),44988.0)</f>
        <v>44988</v>
      </c>
      <c r="K140" s="168"/>
      <c r="L140" s="171" t="str">
        <f>IFERROR(__xludf.DUMMYFUNCTION("""COMPUTED_VALUE"""),"Новые")</f>
        <v>Новые</v>
      </c>
      <c r="M140" s="172">
        <f>IFERROR(__xludf.DUMMYFUNCTION("""COMPUTED_VALUE"""),200000.0)</f>
        <v>200000</v>
      </c>
      <c r="P140" s="168"/>
      <c r="Q140" s="168"/>
    </row>
    <row r="141">
      <c r="A141" s="168" t="str">
        <f>IFERROR(__xludf.DUMMYFUNCTION("""COMPUTED_VALUE"""),"Ручьи_ГП-8")</f>
        <v>Ручьи_ГП-8</v>
      </c>
      <c r="B141" s="168" t="str">
        <f>IFERROR(__xludf.DUMMYFUNCTION("""COMPUTED_VALUE"""),"Ручьи")</f>
        <v>Ручьи</v>
      </c>
      <c r="C141" s="168" t="str">
        <f>IFERROR(__xludf.DUMMYFUNCTION("""COMPUTED_VALUE"""),"ГП-8")</f>
        <v>ГП-8</v>
      </c>
      <c r="D141" s="168" t="str">
        <f>IFERROR(__xludf.DUMMYFUNCTION("""COMPUTED_VALUE"""),"ГП")</f>
        <v>ГП</v>
      </c>
      <c r="E141" s="168">
        <f>IFERROR(__xludf.DUMMYFUNCTION("""COMPUTED_VALUE"""),8.0)</f>
        <v>8</v>
      </c>
      <c r="F141" s="168" t="str">
        <f>IFERROR(__xludf.DUMMYFUNCTION("""COMPUTED_VALUE"""),"🏠")</f>
        <v>🏠</v>
      </c>
      <c r="G141" s="170" t="str">
        <f>IFERROR(__xludf.DUMMYFUNCTION("""COMPUTED_VALUE"""),"Санкт-Петербург")</f>
        <v>Санкт-Петербург</v>
      </c>
      <c r="H141" s="168" t="str">
        <f>IFERROR(__xludf.DUMMYFUNCTION("""COMPUTED_VALUE"""),"Комфорт")</f>
        <v>Комфорт</v>
      </c>
      <c r="I141" s="168" t="str">
        <f>IFERROR(__xludf.DUMMYFUNCTION("""COMPUTED_VALUE"""),"Санкт-Петербург")</f>
        <v>Санкт-Петербург</v>
      </c>
      <c r="J141" s="170">
        <f>IFERROR(__xludf.DUMMYFUNCTION("""COMPUTED_VALUE"""),44988.0)</f>
        <v>44988</v>
      </c>
      <c r="K141" s="168"/>
      <c r="L141" s="171" t="str">
        <f>IFERROR(__xludf.DUMMYFUNCTION("""COMPUTED_VALUE"""),"Новые")</f>
        <v>Новые</v>
      </c>
      <c r="M141" s="172">
        <f>IFERROR(__xludf.DUMMYFUNCTION("""COMPUTED_VALUE"""),200000.0)</f>
        <v>200000</v>
      </c>
      <c r="P141" s="168"/>
      <c r="Q141" s="168"/>
    </row>
    <row r="142">
      <c r="A142" s="168" t="str">
        <f>IFERROR(__xludf.DUMMYFUNCTION("""COMPUTED_VALUE"""),"Ручьи_ГП-9")</f>
        <v>Ручьи_ГП-9</v>
      </c>
      <c r="B142" s="168" t="str">
        <f>IFERROR(__xludf.DUMMYFUNCTION("""COMPUTED_VALUE"""),"Ручьи")</f>
        <v>Ручьи</v>
      </c>
      <c r="C142" s="168" t="str">
        <f>IFERROR(__xludf.DUMMYFUNCTION("""COMPUTED_VALUE"""),"ГП-9")</f>
        <v>ГП-9</v>
      </c>
      <c r="D142" s="168" t="str">
        <f>IFERROR(__xludf.DUMMYFUNCTION("""COMPUTED_VALUE"""),"ГП")</f>
        <v>ГП</v>
      </c>
      <c r="E142" s="168">
        <f>IFERROR(__xludf.DUMMYFUNCTION("""COMPUTED_VALUE"""),9.0)</f>
        <v>9</v>
      </c>
      <c r="F142" s="168" t="str">
        <f>IFERROR(__xludf.DUMMYFUNCTION("""COMPUTED_VALUE"""),"🏠")</f>
        <v>🏠</v>
      </c>
      <c r="G142" s="170" t="str">
        <f>IFERROR(__xludf.DUMMYFUNCTION("""COMPUTED_VALUE"""),"Санкт-Петербург")</f>
        <v>Санкт-Петербург</v>
      </c>
      <c r="H142" s="168" t="str">
        <f>IFERROR(__xludf.DUMMYFUNCTION("""COMPUTED_VALUE"""),"Комфорт")</f>
        <v>Комфорт</v>
      </c>
      <c r="I142" s="168" t="str">
        <f>IFERROR(__xludf.DUMMYFUNCTION("""COMPUTED_VALUE"""),"Санкт-Петербург")</f>
        <v>Санкт-Петербург</v>
      </c>
      <c r="J142" s="170">
        <f>IFERROR(__xludf.DUMMYFUNCTION("""COMPUTED_VALUE"""),44988.0)</f>
        <v>44988</v>
      </c>
      <c r="K142" s="168"/>
      <c r="L142" s="171" t="str">
        <f>IFERROR(__xludf.DUMMYFUNCTION("""COMPUTED_VALUE"""),"Новые")</f>
        <v>Новые</v>
      </c>
      <c r="M142" s="172">
        <f>IFERROR(__xludf.DUMMYFUNCTION("""COMPUTED_VALUE"""),200000.0)</f>
        <v>200000</v>
      </c>
      <c r="P142" s="168"/>
      <c r="Q142" s="168"/>
    </row>
    <row r="143">
      <c r="A143" s="168" t="str">
        <f>IFERROR(__xludf.DUMMYFUNCTION("""COMPUTED_VALUE"""),"Ручьи_ГП-10")</f>
        <v>Ручьи_ГП-10</v>
      </c>
      <c r="B143" s="168" t="str">
        <f>IFERROR(__xludf.DUMMYFUNCTION("""COMPUTED_VALUE"""),"Ручьи")</f>
        <v>Ручьи</v>
      </c>
      <c r="C143" s="168" t="str">
        <f>IFERROR(__xludf.DUMMYFUNCTION("""COMPUTED_VALUE"""),"ГП-10")</f>
        <v>ГП-10</v>
      </c>
      <c r="D143" s="168" t="str">
        <f>IFERROR(__xludf.DUMMYFUNCTION("""COMPUTED_VALUE"""),"ГП")</f>
        <v>ГП</v>
      </c>
      <c r="E143" s="168">
        <f>IFERROR(__xludf.DUMMYFUNCTION("""COMPUTED_VALUE"""),10.0)</f>
        <v>10</v>
      </c>
      <c r="F143" s="168" t="str">
        <f>IFERROR(__xludf.DUMMYFUNCTION("""COMPUTED_VALUE"""),"🏠")</f>
        <v>🏠</v>
      </c>
      <c r="G143" s="170" t="str">
        <f>IFERROR(__xludf.DUMMYFUNCTION("""COMPUTED_VALUE"""),"Санкт-Петербург")</f>
        <v>Санкт-Петербург</v>
      </c>
      <c r="H143" s="168" t="str">
        <f>IFERROR(__xludf.DUMMYFUNCTION("""COMPUTED_VALUE"""),"Комфорт")</f>
        <v>Комфорт</v>
      </c>
      <c r="I143" s="168" t="str">
        <f>IFERROR(__xludf.DUMMYFUNCTION("""COMPUTED_VALUE"""),"Санкт-Петербург")</f>
        <v>Санкт-Петербург</v>
      </c>
      <c r="J143" s="170">
        <f>IFERROR(__xludf.DUMMYFUNCTION("""COMPUTED_VALUE"""),44988.0)</f>
        <v>44988</v>
      </c>
      <c r="K143" s="168"/>
      <c r="L143" s="171" t="str">
        <f>IFERROR(__xludf.DUMMYFUNCTION("""COMPUTED_VALUE"""),"Новые")</f>
        <v>Новые</v>
      </c>
      <c r="M143" s="172">
        <f>IFERROR(__xludf.DUMMYFUNCTION("""COMPUTED_VALUE"""),200000.0)</f>
        <v>200000</v>
      </c>
      <c r="P143" s="168"/>
      <c r="Q143" s="168"/>
    </row>
    <row r="144">
      <c r="A144" s="168" t="str">
        <f>IFERROR(__xludf.DUMMYFUNCTION("""COMPUTED_VALUE"""),"Ручьи_ГП-11")</f>
        <v>Ручьи_ГП-11</v>
      </c>
      <c r="B144" s="168" t="str">
        <f>IFERROR(__xludf.DUMMYFUNCTION("""COMPUTED_VALUE"""),"Ручьи")</f>
        <v>Ручьи</v>
      </c>
      <c r="C144" s="168" t="str">
        <f>IFERROR(__xludf.DUMMYFUNCTION("""COMPUTED_VALUE"""),"ГП-11")</f>
        <v>ГП-11</v>
      </c>
      <c r="D144" s="168" t="str">
        <f>IFERROR(__xludf.DUMMYFUNCTION("""COMPUTED_VALUE"""),"ГП")</f>
        <v>ГП</v>
      </c>
      <c r="E144" s="168">
        <f>IFERROR(__xludf.DUMMYFUNCTION("""COMPUTED_VALUE"""),11.0)</f>
        <v>11</v>
      </c>
      <c r="F144" s="168" t="str">
        <f>IFERROR(__xludf.DUMMYFUNCTION("""COMPUTED_VALUE"""),"🏠")</f>
        <v>🏠</v>
      </c>
      <c r="G144" s="170" t="str">
        <f>IFERROR(__xludf.DUMMYFUNCTION("""COMPUTED_VALUE"""),"Санкт-Петербург")</f>
        <v>Санкт-Петербург</v>
      </c>
      <c r="H144" s="168" t="str">
        <f>IFERROR(__xludf.DUMMYFUNCTION("""COMPUTED_VALUE"""),"Комфорт")</f>
        <v>Комфорт</v>
      </c>
      <c r="I144" s="168" t="str">
        <f>IFERROR(__xludf.DUMMYFUNCTION("""COMPUTED_VALUE"""),"Санкт-Петербург")</f>
        <v>Санкт-Петербург</v>
      </c>
      <c r="J144" s="170">
        <f>IFERROR(__xludf.DUMMYFUNCTION("""COMPUTED_VALUE"""),44988.0)</f>
        <v>44988</v>
      </c>
      <c r="K144" s="168"/>
      <c r="L144" s="171" t="str">
        <f>IFERROR(__xludf.DUMMYFUNCTION("""COMPUTED_VALUE"""),"Новые")</f>
        <v>Новые</v>
      </c>
      <c r="M144" s="172">
        <f>IFERROR(__xludf.DUMMYFUNCTION("""COMPUTED_VALUE"""),200000.0)</f>
        <v>200000</v>
      </c>
      <c r="P144" s="168"/>
      <c r="Q144" s="168"/>
    </row>
    <row r="145">
      <c r="A145" s="168" t="str">
        <f>IFERROR(__xludf.DUMMYFUNCTION("""COMPUTED_VALUE"""),"Ручьи_ГП-12")</f>
        <v>Ручьи_ГП-12</v>
      </c>
      <c r="B145" s="168" t="str">
        <f>IFERROR(__xludf.DUMMYFUNCTION("""COMPUTED_VALUE"""),"Ручьи")</f>
        <v>Ручьи</v>
      </c>
      <c r="C145" s="168" t="str">
        <f>IFERROR(__xludf.DUMMYFUNCTION("""COMPUTED_VALUE"""),"ГП-12")</f>
        <v>ГП-12</v>
      </c>
      <c r="D145" s="168" t="str">
        <f>IFERROR(__xludf.DUMMYFUNCTION("""COMPUTED_VALUE"""),"ГП")</f>
        <v>ГП</v>
      </c>
      <c r="E145" s="168">
        <f>IFERROR(__xludf.DUMMYFUNCTION("""COMPUTED_VALUE"""),12.0)</f>
        <v>12</v>
      </c>
      <c r="F145" s="168" t="str">
        <f>IFERROR(__xludf.DUMMYFUNCTION("""COMPUTED_VALUE"""),"🏠")</f>
        <v>🏠</v>
      </c>
      <c r="G145" s="170" t="str">
        <f>IFERROR(__xludf.DUMMYFUNCTION("""COMPUTED_VALUE"""),"Санкт-Петербург")</f>
        <v>Санкт-Петербург</v>
      </c>
      <c r="H145" s="168" t="str">
        <f>IFERROR(__xludf.DUMMYFUNCTION("""COMPUTED_VALUE"""),"Комфорт")</f>
        <v>Комфорт</v>
      </c>
      <c r="I145" s="168" t="str">
        <f>IFERROR(__xludf.DUMMYFUNCTION("""COMPUTED_VALUE"""),"Санкт-Петербург")</f>
        <v>Санкт-Петербург</v>
      </c>
      <c r="J145" s="170">
        <f>IFERROR(__xludf.DUMMYFUNCTION("""COMPUTED_VALUE"""),44988.0)</f>
        <v>44988</v>
      </c>
      <c r="K145" s="168"/>
      <c r="L145" s="171" t="str">
        <f>IFERROR(__xludf.DUMMYFUNCTION("""COMPUTED_VALUE"""),"Новые")</f>
        <v>Новые</v>
      </c>
      <c r="M145" s="172">
        <f>IFERROR(__xludf.DUMMYFUNCTION("""COMPUTED_VALUE"""),200000.0)</f>
        <v>200000</v>
      </c>
      <c r="P145" s="168"/>
      <c r="Q145" s="168"/>
    </row>
    <row r="146">
      <c r="A146" s="168" t="str">
        <f>IFERROR(__xludf.DUMMYFUNCTION("""COMPUTED_VALUE"""),"Ручьи_ГП-13")</f>
        <v>Ручьи_ГП-13</v>
      </c>
      <c r="B146" s="168" t="str">
        <f>IFERROR(__xludf.DUMMYFUNCTION("""COMPUTED_VALUE"""),"Ручьи")</f>
        <v>Ручьи</v>
      </c>
      <c r="C146" s="168" t="str">
        <f>IFERROR(__xludf.DUMMYFUNCTION("""COMPUTED_VALUE"""),"ГП-13")</f>
        <v>ГП-13</v>
      </c>
      <c r="D146" s="168" t="str">
        <f>IFERROR(__xludf.DUMMYFUNCTION("""COMPUTED_VALUE"""),"ГП")</f>
        <v>ГП</v>
      </c>
      <c r="E146" s="168">
        <f>IFERROR(__xludf.DUMMYFUNCTION("""COMPUTED_VALUE"""),13.0)</f>
        <v>13</v>
      </c>
      <c r="F146" s="168" t="str">
        <f>IFERROR(__xludf.DUMMYFUNCTION("""COMPUTED_VALUE"""),"🏠")</f>
        <v>🏠</v>
      </c>
      <c r="G146" s="170" t="str">
        <f>IFERROR(__xludf.DUMMYFUNCTION("""COMPUTED_VALUE"""),"Санкт-Петербург")</f>
        <v>Санкт-Петербург</v>
      </c>
      <c r="H146" s="168" t="str">
        <f>IFERROR(__xludf.DUMMYFUNCTION("""COMPUTED_VALUE"""),"Комфорт")</f>
        <v>Комфорт</v>
      </c>
      <c r="I146" s="168" t="str">
        <f>IFERROR(__xludf.DUMMYFUNCTION("""COMPUTED_VALUE"""),"Санкт-Петербург")</f>
        <v>Санкт-Петербург</v>
      </c>
      <c r="J146" s="170">
        <f>IFERROR(__xludf.DUMMYFUNCTION("""COMPUTED_VALUE"""),44988.0)</f>
        <v>44988</v>
      </c>
      <c r="K146" s="168"/>
      <c r="L146" s="171" t="str">
        <f>IFERROR(__xludf.DUMMYFUNCTION("""COMPUTED_VALUE"""),"Новые")</f>
        <v>Новые</v>
      </c>
      <c r="M146" s="172">
        <f>IFERROR(__xludf.DUMMYFUNCTION("""COMPUTED_VALUE"""),200000.0)</f>
        <v>200000</v>
      </c>
      <c r="P146" s="168"/>
      <c r="Q146" s="168"/>
    </row>
    <row r="147">
      <c r="A147" s="168" t="str">
        <f>IFERROR(__xludf.DUMMYFUNCTION("""COMPUTED_VALUE"""),"Ручьи_ГП-14")</f>
        <v>Ручьи_ГП-14</v>
      </c>
      <c r="B147" s="168" t="str">
        <f>IFERROR(__xludf.DUMMYFUNCTION("""COMPUTED_VALUE"""),"Ручьи")</f>
        <v>Ручьи</v>
      </c>
      <c r="C147" s="168" t="str">
        <f>IFERROR(__xludf.DUMMYFUNCTION("""COMPUTED_VALUE"""),"ГП-14")</f>
        <v>ГП-14</v>
      </c>
      <c r="D147" s="168" t="str">
        <f>IFERROR(__xludf.DUMMYFUNCTION("""COMPUTED_VALUE"""),"ГП")</f>
        <v>ГП</v>
      </c>
      <c r="E147" s="168">
        <f>IFERROR(__xludf.DUMMYFUNCTION("""COMPUTED_VALUE"""),14.0)</f>
        <v>14</v>
      </c>
      <c r="F147" s="168" t="str">
        <f>IFERROR(__xludf.DUMMYFUNCTION("""COMPUTED_VALUE"""),"🏠")</f>
        <v>🏠</v>
      </c>
      <c r="G147" s="170" t="str">
        <f>IFERROR(__xludf.DUMMYFUNCTION("""COMPUTED_VALUE"""),"Санкт-Петербург")</f>
        <v>Санкт-Петербург</v>
      </c>
      <c r="H147" s="168" t="str">
        <f>IFERROR(__xludf.DUMMYFUNCTION("""COMPUTED_VALUE"""),"Комфорт")</f>
        <v>Комфорт</v>
      </c>
      <c r="I147" s="168" t="str">
        <f>IFERROR(__xludf.DUMMYFUNCTION("""COMPUTED_VALUE"""),"Санкт-Петербург")</f>
        <v>Санкт-Петербург</v>
      </c>
      <c r="J147" s="170">
        <f>IFERROR(__xludf.DUMMYFUNCTION("""COMPUTED_VALUE"""),44988.0)</f>
        <v>44988</v>
      </c>
      <c r="K147" s="168"/>
      <c r="L147" s="171" t="str">
        <f>IFERROR(__xludf.DUMMYFUNCTION("""COMPUTED_VALUE"""),"Новые")</f>
        <v>Новые</v>
      </c>
      <c r="M147" s="172">
        <f>IFERROR(__xludf.DUMMYFUNCTION("""COMPUTED_VALUE"""),200000.0)</f>
        <v>200000</v>
      </c>
      <c r="P147" s="168"/>
      <c r="Q147" s="168"/>
    </row>
    <row r="148">
      <c r="A148" s="168" t="str">
        <f>IFERROR(__xludf.DUMMYFUNCTION("""COMPUTED_VALUE"""),"Сельскохозяйственный_")</f>
        <v>Сельскохозяйственный_</v>
      </c>
      <c r="B148" s="168" t="str">
        <f>IFERROR(__xludf.DUMMYFUNCTION("""COMPUTED_VALUE"""),"Сельскохозяйственный")</f>
        <v>Сельскохозяйственный</v>
      </c>
      <c r="C148" s="168"/>
      <c r="D148" s="168" t="str">
        <f>IFERROR(__xludf.DUMMYFUNCTION("""COMPUTED_VALUE"""),"#VALUE!")</f>
        <v>#VALUE!</v>
      </c>
      <c r="E148" s="168"/>
      <c r="F148" s="168" t="str">
        <f>IFERROR(__xludf.DUMMYFUNCTION("""COMPUTED_VALUE"""),"🏠")</f>
        <v>🏠</v>
      </c>
      <c r="G148" s="170" t="str">
        <f>IFERROR(__xludf.DUMMYFUNCTION("""COMPUTED_VALUE"""),"Москва")</f>
        <v>Москва</v>
      </c>
      <c r="H148" s="168" t="str">
        <f>IFERROR(__xludf.DUMMYFUNCTION("""COMPUTED_VALUE"""),"Бизнес")</f>
        <v>Бизнес</v>
      </c>
      <c r="I148" s="168" t="str">
        <f>IFERROR(__xludf.DUMMYFUNCTION("""COMPUTED_VALUE"""),"НР/Текущие ")</f>
        <v>НР/Текущие </v>
      </c>
      <c r="J148" s="170">
        <f>IFERROR(__xludf.DUMMYFUNCTION("""COMPUTED_VALUE"""),44951.0)</f>
        <v>44951</v>
      </c>
      <c r="K148" s="168">
        <f>IFERROR(__xludf.DUMMYFUNCTION("""COMPUTED_VALUE"""),16800.0)</f>
        <v>16800</v>
      </c>
      <c r="L148" s="171" t="str">
        <f>IFERROR(__xludf.DUMMYFUNCTION("""COMPUTED_VALUE"""),"Новые")</f>
        <v>Новые</v>
      </c>
      <c r="M148" s="172">
        <f>IFERROR(__xludf.DUMMYFUNCTION("""COMPUTED_VALUE"""),200000.0)</f>
        <v>200000</v>
      </c>
      <c r="P148" s="168"/>
      <c r="Q148" s="168"/>
    </row>
    <row r="149">
      <c r="A149" s="168" t="str">
        <f>IFERROR(__xludf.DUMMYFUNCTION("""COMPUTED_VALUE"""),"Сибирский тракт_этап2")</f>
        <v>Сибирский тракт_этап2</v>
      </c>
      <c r="B149" s="168" t="str">
        <f>IFERROR(__xludf.DUMMYFUNCTION("""COMPUTED_VALUE"""),"Сибирский тракт")</f>
        <v>Сибирский тракт</v>
      </c>
      <c r="C149" s="168" t="str">
        <f>IFERROR(__xludf.DUMMYFUNCTION("""COMPUTED_VALUE"""),"этап2")</f>
        <v>этап2</v>
      </c>
      <c r="D149" s="168" t="str">
        <f>IFERROR(__xludf.DUMMYFUNCTION("""COMPUTED_VALUE"""),"этап2")</f>
        <v>этап2</v>
      </c>
      <c r="E149" s="168"/>
      <c r="F149" s="168" t="str">
        <f>IFERROR(__xludf.DUMMYFUNCTION("""COMPUTED_VALUE"""),"🏠")</f>
        <v>🏠</v>
      </c>
      <c r="G149" s="170" t="str">
        <f>IFERROR(__xludf.DUMMYFUNCTION("""COMPUTED_VALUE"""),"Екатеринбург")</f>
        <v>Екатеринбург</v>
      </c>
      <c r="H149" s="168" t="str">
        <f>IFERROR(__xludf.DUMMYFUNCTION("""COMPUTED_VALUE"""),"Комфорт")</f>
        <v>Комфорт</v>
      </c>
      <c r="I149" s="168" t="str">
        <f>IFERROR(__xludf.DUMMYFUNCTION("""COMPUTED_VALUE"""),"Тюмень")</f>
        <v>Тюмень</v>
      </c>
      <c r="J149" s="170">
        <f>IFERROR(__xludf.DUMMYFUNCTION("""COMPUTED_VALUE"""),44951.0)</f>
        <v>44951</v>
      </c>
      <c r="K149" s="168">
        <f>IFERROR(__xludf.DUMMYFUNCTION("""COMPUTED_VALUE"""),53083.0)</f>
        <v>53083</v>
      </c>
      <c r="L149" s="171" t="str">
        <f>IFERROR(__xludf.DUMMYFUNCTION("""COMPUTED_VALUE"""),"В работе")</f>
        <v>В работе</v>
      </c>
      <c r="M149" s="172">
        <f>IFERROR(__xludf.DUMMYFUNCTION("""COMPUTED_VALUE"""),100000.0)</f>
        <v>100000</v>
      </c>
      <c r="P149" s="168"/>
      <c r="Q149" s="168"/>
    </row>
    <row r="150">
      <c r="A150" s="168" t="str">
        <f>IFERROR(__xludf.DUMMYFUNCTION("""COMPUTED_VALUE"""),"Сибирский тракт_этап1")</f>
        <v>Сибирский тракт_этап1</v>
      </c>
      <c r="B150" s="168" t="str">
        <f>IFERROR(__xludf.DUMMYFUNCTION("""COMPUTED_VALUE"""),"Сибирский тракт")</f>
        <v>Сибирский тракт</v>
      </c>
      <c r="C150" s="168" t="str">
        <f>IFERROR(__xludf.DUMMYFUNCTION("""COMPUTED_VALUE"""),"этап1")</f>
        <v>этап1</v>
      </c>
      <c r="D150" s="168" t="str">
        <f>IFERROR(__xludf.DUMMYFUNCTION("""COMPUTED_VALUE"""),"этап1")</f>
        <v>этап1</v>
      </c>
      <c r="E150" s="168"/>
      <c r="F150" s="168" t="str">
        <f>IFERROR(__xludf.DUMMYFUNCTION("""COMPUTED_VALUE"""),"🏠")</f>
        <v>🏠</v>
      </c>
      <c r="G150" s="170" t="str">
        <f>IFERROR(__xludf.DUMMYFUNCTION("""COMPUTED_VALUE"""),"Екатеринбург")</f>
        <v>Екатеринбург</v>
      </c>
      <c r="H150" s="168" t="str">
        <f>IFERROR(__xludf.DUMMYFUNCTION("""COMPUTED_VALUE"""),"Комфорт")</f>
        <v>Комфорт</v>
      </c>
      <c r="I150" s="168" t="str">
        <f>IFERROR(__xludf.DUMMYFUNCTION("""COMPUTED_VALUE"""),"Тюмень")</f>
        <v>Тюмень</v>
      </c>
      <c r="J150" s="170">
        <f>IFERROR(__xludf.DUMMYFUNCTION("""COMPUTED_VALUE"""),44951.0)</f>
        <v>44951</v>
      </c>
      <c r="K150" s="168">
        <f>IFERROR(__xludf.DUMMYFUNCTION("""COMPUTED_VALUE"""),54723.25)</f>
        <v>54723.25</v>
      </c>
      <c r="L150" s="171" t="str">
        <f>IFERROR(__xludf.DUMMYFUNCTION("""COMPUTED_VALUE"""),"В работе")</f>
        <v>В работе</v>
      </c>
      <c r="M150" s="172">
        <f>IFERROR(__xludf.DUMMYFUNCTION("""COMPUTED_VALUE"""),100000.0)</f>
        <v>100000</v>
      </c>
      <c r="P150" s="168"/>
      <c r="Q150" s="168"/>
    </row>
    <row r="151">
      <c r="A151" s="168" t="str">
        <f>IFERROR(__xludf.DUMMYFUNCTION("""COMPUTED_VALUE"""),"Сибирский тракт_этап3")</f>
        <v>Сибирский тракт_этап3</v>
      </c>
      <c r="B151" s="168" t="str">
        <f>IFERROR(__xludf.DUMMYFUNCTION("""COMPUTED_VALUE"""),"Сибирский тракт")</f>
        <v>Сибирский тракт</v>
      </c>
      <c r="C151" s="168" t="str">
        <f>IFERROR(__xludf.DUMMYFUNCTION("""COMPUTED_VALUE"""),"этап3")</f>
        <v>этап3</v>
      </c>
      <c r="D151" s="168" t="str">
        <f>IFERROR(__xludf.DUMMYFUNCTION("""COMPUTED_VALUE"""),"этап3")</f>
        <v>этап3</v>
      </c>
      <c r="E151" s="168"/>
      <c r="F151" s="168" t="str">
        <f>IFERROR(__xludf.DUMMYFUNCTION("""COMPUTED_VALUE"""),"🏠")</f>
        <v>🏠</v>
      </c>
      <c r="G151" s="170" t="str">
        <f>IFERROR(__xludf.DUMMYFUNCTION("""COMPUTED_VALUE"""),"Екатеринбург")</f>
        <v>Екатеринбург</v>
      </c>
      <c r="H151" s="168" t="str">
        <f>IFERROR(__xludf.DUMMYFUNCTION("""COMPUTED_VALUE"""),"Комфорт")</f>
        <v>Комфорт</v>
      </c>
      <c r="I151" s="168" t="str">
        <f>IFERROR(__xludf.DUMMYFUNCTION("""COMPUTED_VALUE"""),"Ростов-на-Дону")</f>
        <v>Ростов-на-Дону</v>
      </c>
      <c r="J151" s="170">
        <f>IFERROR(__xludf.DUMMYFUNCTION("""COMPUTED_VALUE"""),44951.0)</f>
        <v>44951</v>
      </c>
      <c r="K151" s="168">
        <f>IFERROR(__xludf.DUMMYFUNCTION("""COMPUTED_VALUE"""),60945.75)</f>
        <v>60945.75</v>
      </c>
      <c r="L151" s="171" t="str">
        <f>IFERROR(__xludf.DUMMYFUNCTION("""COMPUTED_VALUE"""),"В работе")</f>
        <v>В работе</v>
      </c>
      <c r="M151" s="172">
        <f>IFERROR(__xludf.DUMMYFUNCTION("""COMPUTED_VALUE"""),100000.0)</f>
        <v>100000</v>
      </c>
      <c r="P151" s="168"/>
      <c r="Q151" s="168"/>
    </row>
    <row r="152">
      <c r="A152" s="168" t="str">
        <f>IFERROR(__xludf.DUMMYFUNCTION("""COMPUTED_VALUE"""),"Сибирский тракт_этап4")</f>
        <v>Сибирский тракт_этап4</v>
      </c>
      <c r="B152" s="168" t="str">
        <f>IFERROR(__xludf.DUMMYFUNCTION("""COMPUTED_VALUE"""),"Сибирский тракт")</f>
        <v>Сибирский тракт</v>
      </c>
      <c r="C152" s="168" t="str">
        <f>IFERROR(__xludf.DUMMYFUNCTION("""COMPUTED_VALUE"""),"этап4")</f>
        <v>этап4</v>
      </c>
      <c r="D152" s="168" t="str">
        <f>IFERROR(__xludf.DUMMYFUNCTION("""COMPUTED_VALUE"""),"этап4")</f>
        <v>этап4</v>
      </c>
      <c r="E152" s="168"/>
      <c r="F152" s="168" t="str">
        <f>IFERROR(__xludf.DUMMYFUNCTION("""COMPUTED_VALUE"""),"🏠")</f>
        <v>🏠</v>
      </c>
      <c r="G152" s="170" t="str">
        <f>IFERROR(__xludf.DUMMYFUNCTION("""COMPUTED_VALUE"""),"Екатеринбург")</f>
        <v>Екатеринбург</v>
      </c>
      <c r="H152" s="168" t="str">
        <f>IFERROR(__xludf.DUMMYFUNCTION("""COMPUTED_VALUE"""),"Комфорт")</f>
        <v>Комфорт</v>
      </c>
      <c r="I152" s="168" t="str">
        <f>IFERROR(__xludf.DUMMYFUNCTION("""COMPUTED_VALUE"""),"Ростов-на-Дону")</f>
        <v>Ростов-на-Дону</v>
      </c>
      <c r="J152" s="170">
        <f>IFERROR(__xludf.DUMMYFUNCTION("""COMPUTED_VALUE"""),44951.0)</f>
        <v>44951</v>
      </c>
      <c r="K152" s="168">
        <f>IFERROR(__xludf.DUMMYFUNCTION("""COMPUTED_VALUE"""),57945.5)</f>
        <v>57945.5</v>
      </c>
      <c r="L152" s="171" t="str">
        <f>IFERROR(__xludf.DUMMYFUNCTION("""COMPUTED_VALUE"""),"Новые")</f>
        <v>Новые</v>
      </c>
      <c r="M152" s="172">
        <f>IFERROR(__xludf.DUMMYFUNCTION("""COMPUTED_VALUE"""),100000.0)</f>
        <v>100000</v>
      </c>
      <c r="P152" s="168"/>
      <c r="Q152" s="168"/>
    </row>
    <row r="153">
      <c r="A153" s="168" t="str">
        <f>IFERROR(__xludf.DUMMYFUNCTION("""COMPUTED_VALUE"""),"Сухарная_ГП-1")</f>
        <v>Сухарная_ГП-1</v>
      </c>
      <c r="B153" s="168" t="str">
        <f>IFERROR(__xludf.DUMMYFUNCTION("""COMPUTED_VALUE"""),"Сухарная")</f>
        <v>Сухарная</v>
      </c>
      <c r="C153" s="168" t="str">
        <f>IFERROR(__xludf.DUMMYFUNCTION("""COMPUTED_VALUE"""),"ГП-1")</f>
        <v>ГП-1</v>
      </c>
      <c r="D153" s="168" t="str">
        <f>IFERROR(__xludf.DUMMYFUNCTION("""COMPUTED_VALUE"""),"ГП")</f>
        <v>ГП</v>
      </c>
      <c r="E153" s="168">
        <f>IFERROR(__xludf.DUMMYFUNCTION("""COMPUTED_VALUE"""),1.0)</f>
        <v>1</v>
      </c>
      <c r="F153" s="168" t="str">
        <f>IFERROR(__xludf.DUMMYFUNCTION("""COMPUTED_VALUE"""),"🏠")</f>
        <v>🏠</v>
      </c>
      <c r="G153" s="170" t="str">
        <f>IFERROR(__xludf.DUMMYFUNCTION("""COMPUTED_VALUE"""),"Новосибирск")</f>
        <v>Новосибирск</v>
      </c>
      <c r="H153" s="168" t="str">
        <f>IFERROR(__xludf.DUMMYFUNCTION("""COMPUTED_VALUE"""),"Комфорт")</f>
        <v>Комфорт</v>
      </c>
      <c r="I153" s="168" t="str">
        <f>IFERROR(__xludf.DUMMYFUNCTION("""COMPUTED_VALUE"""),"Тюмень")</f>
        <v>Тюмень</v>
      </c>
      <c r="J153" s="170">
        <f>IFERROR(__xludf.DUMMYFUNCTION("""COMPUTED_VALUE"""),44967.0)</f>
        <v>44967</v>
      </c>
      <c r="K153" s="168">
        <f>IFERROR(__xludf.DUMMYFUNCTION("""COMPUTED_VALUE"""),27000.0)</f>
        <v>27000</v>
      </c>
      <c r="L153" s="171" t="str">
        <f>IFERROR(__xludf.DUMMYFUNCTION("""COMPUTED_VALUE"""),"В работе")</f>
        <v>В работе</v>
      </c>
      <c r="M153" s="172">
        <f>IFERROR(__xludf.DUMMYFUNCTION("""COMPUTED_VALUE"""),100000.0)</f>
        <v>100000</v>
      </c>
      <c r="P153" s="168"/>
      <c r="Q153" s="168"/>
    </row>
    <row r="154">
      <c r="A154" s="168" t="str">
        <f>IFERROR(__xludf.DUMMYFUNCTION("""COMPUTED_VALUE"""),"Харьковская_ГП-1")</f>
        <v>Харьковская_ГП-1</v>
      </c>
      <c r="B154" s="168" t="str">
        <f>IFERROR(__xludf.DUMMYFUNCTION("""COMPUTED_VALUE"""),"Харьковская")</f>
        <v>Харьковская</v>
      </c>
      <c r="C154" s="168" t="str">
        <f>IFERROR(__xludf.DUMMYFUNCTION("""COMPUTED_VALUE"""),"ГП-1")</f>
        <v>ГП-1</v>
      </c>
      <c r="D154" s="168" t="str">
        <f>IFERROR(__xludf.DUMMYFUNCTION("""COMPUTED_VALUE"""),"ГП")</f>
        <v>ГП</v>
      </c>
      <c r="E154" s="168">
        <f>IFERROR(__xludf.DUMMYFUNCTION("""COMPUTED_VALUE"""),1.0)</f>
        <v>1</v>
      </c>
      <c r="F154" s="168" t="str">
        <f>IFERROR(__xludf.DUMMYFUNCTION("""COMPUTED_VALUE"""),"🏠")</f>
        <v>🏠</v>
      </c>
      <c r="G154" s="170" t="str">
        <f>IFERROR(__xludf.DUMMYFUNCTION("""COMPUTED_VALUE"""),"Тюмень")</f>
        <v>Тюмень</v>
      </c>
      <c r="H154" s="168" t="str">
        <f>IFERROR(__xludf.DUMMYFUNCTION("""COMPUTED_VALUE"""),"Комфорт")</f>
        <v>Комфорт</v>
      </c>
      <c r="I154" s="168" t="str">
        <f>IFERROR(__xludf.DUMMYFUNCTION("""COMPUTED_VALUE"""),"Тюмень")</f>
        <v>Тюмень</v>
      </c>
      <c r="J154" s="170">
        <f>IFERROR(__xludf.DUMMYFUNCTION("""COMPUTED_VALUE"""),44951.0)</f>
        <v>44951</v>
      </c>
      <c r="K154" s="168">
        <f>IFERROR(__xludf.DUMMYFUNCTION("""COMPUTED_VALUE"""),34202.229999999996)</f>
        <v>34202.23</v>
      </c>
      <c r="L154" s="171" t="str">
        <f>IFERROR(__xludf.DUMMYFUNCTION("""COMPUTED_VALUE"""),"Построен")</f>
        <v>Построен</v>
      </c>
      <c r="M154" s="172">
        <f>IFERROR(__xludf.DUMMYFUNCTION("""COMPUTED_VALUE"""),100000.0)</f>
        <v>100000</v>
      </c>
      <c r="P154" s="168"/>
      <c r="Q154" s="168"/>
    </row>
    <row r="155">
      <c r="A155" s="168" t="str">
        <f>IFERROR(__xludf.DUMMYFUNCTION("""COMPUTED_VALUE"""),"Харьковская_ГП-2")</f>
        <v>Харьковская_ГП-2</v>
      </c>
      <c r="B155" s="168" t="str">
        <f>IFERROR(__xludf.DUMMYFUNCTION("""COMPUTED_VALUE"""),"Харьковская")</f>
        <v>Харьковская</v>
      </c>
      <c r="C155" s="168" t="str">
        <f>IFERROR(__xludf.DUMMYFUNCTION("""COMPUTED_VALUE"""),"ГП-2")</f>
        <v>ГП-2</v>
      </c>
      <c r="D155" s="168" t="str">
        <f>IFERROR(__xludf.DUMMYFUNCTION("""COMPUTED_VALUE"""),"ГП")</f>
        <v>ГП</v>
      </c>
      <c r="E155" s="168">
        <f>IFERROR(__xludf.DUMMYFUNCTION("""COMPUTED_VALUE"""),2.0)</f>
        <v>2</v>
      </c>
      <c r="F155" s="168" t="str">
        <f>IFERROR(__xludf.DUMMYFUNCTION("""COMPUTED_VALUE"""),"🏠")</f>
        <v>🏠</v>
      </c>
      <c r="G155" s="170" t="str">
        <f>IFERROR(__xludf.DUMMYFUNCTION("""COMPUTED_VALUE"""),"Тюмень")</f>
        <v>Тюмень</v>
      </c>
      <c r="H155" s="168" t="str">
        <f>IFERROR(__xludf.DUMMYFUNCTION("""COMPUTED_VALUE"""),"Комфорт")</f>
        <v>Комфорт</v>
      </c>
      <c r="I155" s="168" t="str">
        <f>IFERROR(__xludf.DUMMYFUNCTION("""COMPUTED_VALUE"""),"Тюмень")</f>
        <v>Тюмень</v>
      </c>
      <c r="J155" s="170">
        <f>IFERROR(__xludf.DUMMYFUNCTION("""COMPUTED_VALUE"""),44951.0)</f>
        <v>44951</v>
      </c>
      <c r="K155" s="168">
        <f>IFERROR(__xludf.DUMMYFUNCTION("""COMPUTED_VALUE"""),32134.920000000002)</f>
        <v>32134.92</v>
      </c>
      <c r="L155" s="171" t="str">
        <f>IFERROR(__xludf.DUMMYFUNCTION("""COMPUTED_VALUE"""),"Построен")</f>
        <v>Построен</v>
      </c>
      <c r="M155" s="172">
        <f>IFERROR(__xludf.DUMMYFUNCTION("""COMPUTED_VALUE"""),100000.0)</f>
        <v>100000</v>
      </c>
      <c r="P155" s="168"/>
      <c r="Q155" s="168"/>
    </row>
    <row r="156">
      <c r="A156" s="168" t="str">
        <f>IFERROR(__xludf.DUMMYFUNCTION("""COMPUTED_VALUE"""),"Харьковская_ГП-3")</f>
        <v>Харьковская_ГП-3</v>
      </c>
      <c r="B156" s="168" t="str">
        <f>IFERROR(__xludf.DUMMYFUNCTION("""COMPUTED_VALUE"""),"Харьковская")</f>
        <v>Харьковская</v>
      </c>
      <c r="C156" s="168" t="str">
        <f>IFERROR(__xludf.DUMMYFUNCTION("""COMPUTED_VALUE"""),"ГП-3")</f>
        <v>ГП-3</v>
      </c>
      <c r="D156" s="168" t="str">
        <f>IFERROR(__xludf.DUMMYFUNCTION("""COMPUTED_VALUE"""),"ГП")</f>
        <v>ГП</v>
      </c>
      <c r="E156" s="168">
        <f>IFERROR(__xludf.DUMMYFUNCTION("""COMPUTED_VALUE"""),3.0)</f>
        <v>3</v>
      </c>
      <c r="F156" s="168" t="str">
        <f>IFERROR(__xludf.DUMMYFUNCTION("""COMPUTED_VALUE"""),"🏠")</f>
        <v>🏠</v>
      </c>
      <c r="G156" s="170" t="str">
        <f>IFERROR(__xludf.DUMMYFUNCTION("""COMPUTED_VALUE"""),"Тюмень")</f>
        <v>Тюмень</v>
      </c>
      <c r="H156" s="168" t="str">
        <f>IFERROR(__xludf.DUMMYFUNCTION("""COMPUTED_VALUE"""),"Комфорт")</f>
        <v>Комфорт</v>
      </c>
      <c r="I156" s="168" t="str">
        <f>IFERROR(__xludf.DUMMYFUNCTION("""COMPUTED_VALUE"""),"Тюмень")</f>
        <v>Тюмень</v>
      </c>
      <c r="J156" s="170">
        <f>IFERROR(__xludf.DUMMYFUNCTION("""COMPUTED_VALUE"""),44951.0)</f>
        <v>44951</v>
      </c>
      <c r="K156" s="168">
        <f>IFERROR(__xludf.DUMMYFUNCTION("""COMPUTED_VALUE"""),49169.6)</f>
        <v>49169.6</v>
      </c>
      <c r="L156" s="171" t="str">
        <f>IFERROR(__xludf.DUMMYFUNCTION("""COMPUTED_VALUE"""),"В работе")</f>
        <v>В работе</v>
      </c>
      <c r="M156" s="172">
        <f>IFERROR(__xludf.DUMMYFUNCTION("""COMPUTED_VALUE"""),100000.0)</f>
        <v>100000</v>
      </c>
      <c r="P156" s="168"/>
      <c r="Q156" s="168"/>
    </row>
    <row r="157">
      <c r="A157" s="168" t="str">
        <f>IFERROR(__xludf.DUMMYFUNCTION("""COMPUTED_VALUE"""),"Харьковская_ГП-4")</f>
        <v>Харьковская_ГП-4</v>
      </c>
      <c r="B157" s="168" t="str">
        <f>IFERROR(__xludf.DUMMYFUNCTION("""COMPUTED_VALUE"""),"Харьковская")</f>
        <v>Харьковская</v>
      </c>
      <c r="C157" s="168" t="str">
        <f>IFERROR(__xludf.DUMMYFUNCTION("""COMPUTED_VALUE"""),"ГП-4")</f>
        <v>ГП-4</v>
      </c>
      <c r="D157" s="168" t="str">
        <f>IFERROR(__xludf.DUMMYFUNCTION("""COMPUTED_VALUE"""),"ГП")</f>
        <v>ГП</v>
      </c>
      <c r="E157" s="168">
        <f>IFERROR(__xludf.DUMMYFUNCTION("""COMPUTED_VALUE"""),4.0)</f>
        <v>4</v>
      </c>
      <c r="F157" s="168" t="str">
        <f>IFERROR(__xludf.DUMMYFUNCTION("""COMPUTED_VALUE"""),"🏠")</f>
        <v>🏠</v>
      </c>
      <c r="G157" s="170" t="str">
        <f>IFERROR(__xludf.DUMMYFUNCTION("""COMPUTED_VALUE"""),"Тюмень")</f>
        <v>Тюмень</v>
      </c>
      <c r="H157" s="168" t="str">
        <f>IFERROR(__xludf.DUMMYFUNCTION("""COMPUTED_VALUE"""),"Комфорт")</f>
        <v>Комфорт</v>
      </c>
      <c r="I157" s="168" t="str">
        <f>IFERROR(__xludf.DUMMYFUNCTION("""COMPUTED_VALUE"""),"Внешний")</f>
        <v>Внешний</v>
      </c>
      <c r="J157" s="170">
        <f>IFERROR(__xludf.DUMMYFUNCTION("""COMPUTED_VALUE"""),44951.0)</f>
        <v>44951</v>
      </c>
      <c r="K157" s="168">
        <f>IFERROR(__xludf.DUMMYFUNCTION("""COMPUTED_VALUE"""),42708.66)</f>
        <v>42708.66</v>
      </c>
      <c r="L157" s="171" t="str">
        <f>IFERROR(__xludf.DUMMYFUNCTION("""COMPUTED_VALUE"""),"В работе")</f>
        <v>В работе</v>
      </c>
      <c r="M157" s="172">
        <f>IFERROR(__xludf.DUMMYFUNCTION("""COMPUTED_VALUE"""),100000.0)</f>
        <v>100000</v>
      </c>
      <c r="P157" s="168"/>
      <c r="Q157" s="168"/>
    </row>
    <row r="158">
      <c r="A158" s="168" t="str">
        <f>IFERROR(__xludf.DUMMYFUNCTION("""COMPUTED_VALUE"""),"Харьковская_ГП-5")</f>
        <v>Харьковская_ГП-5</v>
      </c>
      <c r="B158" s="168" t="str">
        <f>IFERROR(__xludf.DUMMYFUNCTION("""COMPUTED_VALUE"""),"Харьковская")</f>
        <v>Харьковская</v>
      </c>
      <c r="C158" s="168" t="str">
        <f>IFERROR(__xludf.DUMMYFUNCTION("""COMPUTED_VALUE"""),"ГП-5")</f>
        <v>ГП-5</v>
      </c>
      <c r="D158" s="168" t="str">
        <f>IFERROR(__xludf.DUMMYFUNCTION("""COMPUTED_VALUE"""),"ГП")</f>
        <v>ГП</v>
      </c>
      <c r="E158" s="168">
        <f>IFERROR(__xludf.DUMMYFUNCTION("""COMPUTED_VALUE"""),5.0)</f>
        <v>5</v>
      </c>
      <c r="F158" s="168" t="str">
        <f>IFERROR(__xludf.DUMMYFUNCTION("""COMPUTED_VALUE"""),"🏠")</f>
        <v>🏠</v>
      </c>
      <c r="G158" s="170" t="str">
        <f>IFERROR(__xludf.DUMMYFUNCTION("""COMPUTED_VALUE"""),"Тюмень")</f>
        <v>Тюмень</v>
      </c>
      <c r="H158" s="168" t="str">
        <f>IFERROR(__xludf.DUMMYFUNCTION("""COMPUTED_VALUE"""),"Комфорт")</f>
        <v>Комфорт</v>
      </c>
      <c r="I158" s="168" t="str">
        <f>IFERROR(__xludf.DUMMYFUNCTION("""COMPUTED_VALUE"""),"Тюмень")</f>
        <v>Тюмень</v>
      </c>
      <c r="J158" s="170">
        <f>IFERROR(__xludf.DUMMYFUNCTION("""COMPUTED_VALUE"""),44951.0)</f>
        <v>44951</v>
      </c>
      <c r="K158" s="168">
        <f>IFERROR(__xludf.DUMMYFUNCTION("""COMPUTED_VALUE"""),36486.37)</f>
        <v>36486.37</v>
      </c>
      <c r="L158" s="171" t="str">
        <f>IFERROR(__xludf.DUMMYFUNCTION("""COMPUTED_VALUE"""),"В работе")</f>
        <v>В работе</v>
      </c>
      <c r="M158" s="172">
        <f>IFERROR(__xludf.DUMMYFUNCTION("""COMPUTED_VALUE"""),100000.0)</f>
        <v>100000</v>
      </c>
      <c r="P158" s="168"/>
      <c r="Q158" s="168"/>
    </row>
    <row r="159">
      <c r="A159" s="168" t="str">
        <f>IFERROR(__xludf.DUMMYFUNCTION("""COMPUTED_VALUE"""),"Харьковская_ГП-6")</f>
        <v>Харьковская_ГП-6</v>
      </c>
      <c r="B159" s="168" t="str">
        <f>IFERROR(__xludf.DUMMYFUNCTION("""COMPUTED_VALUE"""),"Харьковская")</f>
        <v>Харьковская</v>
      </c>
      <c r="C159" s="168" t="str">
        <f>IFERROR(__xludf.DUMMYFUNCTION("""COMPUTED_VALUE"""),"ГП-6")</f>
        <v>ГП-6</v>
      </c>
      <c r="D159" s="168" t="str">
        <f>IFERROR(__xludf.DUMMYFUNCTION("""COMPUTED_VALUE"""),"ГП")</f>
        <v>ГП</v>
      </c>
      <c r="E159" s="168">
        <f>IFERROR(__xludf.DUMMYFUNCTION("""COMPUTED_VALUE"""),6.0)</f>
        <v>6</v>
      </c>
      <c r="F159" s="168" t="str">
        <f>IFERROR(__xludf.DUMMYFUNCTION("""COMPUTED_VALUE"""),"🏠")</f>
        <v>🏠</v>
      </c>
      <c r="G159" s="170" t="str">
        <f>IFERROR(__xludf.DUMMYFUNCTION("""COMPUTED_VALUE"""),"Тюмень")</f>
        <v>Тюмень</v>
      </c>
      <c r="H159" s="168" t="str">
        <f>IFERROR(__xludf.DUMMYFUNCTION("""COMPUTED_VALUE"""),"Комфорт")</f>
        <v>Комфорт</v>
      </c>
      <c r="I159" s="168" t="str">
        <f>IFERROR(__xludf.DUMMYFUNCTION("""COMPUTED_VALUE"""),"Краснодар")</f>
        <v>Краснодар</v>
      </c>
      <c r="J159" s="170">
        <f>IFERROR(__xludf.DUMMYFUNCTION("""COMPUTED_VALUE"""),44951.0)</f>
        <v>44951</v>
      </c>
      <c r="K159" s="168">
        <f>IFERROR(__xludf.DUMMYFUNCTION("""COMPUTED_VALUE"""),45182.808000000005)</f>
        <v>45182.808</v>
      </c>
      <c r="L159" s="171" t="str">
        <f>IFERROR(__xludf.DUMMYFUNCTION("""COMPUTED_VALUE"""),"В работе")</f>
        <v>В работе</v>
      </c>
      <c r="M159" s="172">
        <f>IFERROR(__xludf.DUMMYFUNCTION("""COMPUTED_VALUE"""),100000.0)</f>
        <v>100000</v>
      </c>
      <c r="P159" s="168"/>
      <c r="Q159" s="168"/>
    </row>
    <row r="160">
      <c r="A160" s="168" t="str">
        <f>IFERROR(__xludf.DUMMYFUNCTION("""COMPUTED_VALUE"""),"Харьковская_ГП-7")</f>
        <v>Харьковская_ГП-7</v>
      </c>
      <c r="B160" s="168" t="str">
        <f>IFERROR(__xludf.DUMMYFUNCTION("""COMPUTED_VALUE"""),"Харьковская")</f>
        <v>Харьковская</v>
      </c>
      <c r="C160" s="168" t="str">
        <f>IFERROR(__xludf.DUMMYFUNCTION("""COMPUTED_VALUE"""),"ГП-7")</f>
        <v>ГП-7</v>
      </c>
      <c r="D160" s="168" t="str">
        <f>IFERROR(__xludf.DUMMYFUNCTION("""COMPUTED_VALUE"""),"ГП")</f>
        <v>ГП</v>
      </c>
      <c r="E160" s="168">
        <f>IFERROR(__xludf.DUMMYFUNCTION("""COMPUTED_VALUE"""),7.0)</f>
        <v>7</v>
      </c>
      <c r="F160" s="168" t="str">
        <f>IFERROR(__xludf.DUMMYFUNCTION("""COMPUTED_VALUE"""),"🏠")</f>
        <v>🏠</v>
      </c>
      <c r="G160" s="170" t="str">
        <f>IFERROR(__xludf.DUMMYFUNCTION("""COMPUTED_VALUE"""),"Тюмень")</f>
        <v>Тюмень</v>
      </c>
      <c r="H160" s="168" t="str">
        <f>IFERROR(__xludf.DUMMYFUNCTION("""COMPUTED_VALUE"""),"Комфорт")</f>
        <v>Комфорт</v>
      </c>
      <c r="I160" s="168" t="str">
        <f>IFERROR(__xludf.DUMMYFUNCTION("""COMPUTED_VALUE"""),"Тюмень")</f>
        <v>Тюмень</v>
      </c>
      <c r="J160" s="170">
        <f>IFERROR(__xludf.DUMMYFUNCTION("""COMPUTED_VALUE"""),44951.0)</f>
        <v>44951</v>
      </c>
      <c r="K160" s="168">
        <f>IFERROR(__xludf.DUMMYFUNCTION("""COMPUTED_VALUE"""),48630.106)</f>
        <v>48630.106</v>
      </c>
      <c r="L160" s="171" t="str">
        <f>IFERROR(__xludf.DUMMYFUNCTION("""COMPUTED_VALUE"""),"Новые")</f>
        <v>Новые</v>
      </c>
      <c r="M160" s="172">
        <f>IFERROR(__xludf.DUMMYFUNCTION("""COMPUTED_VALUE"""),100000.0)</f>
        <v>100000</v>
      </c>
      <c r="P160" s="168"/>
      <c r="Q160" s="168"/>
    </row>
    <row r="161">
      <c r="A161" s="168" t="str">
        <f>IFERROR(__xludf.DUMMYFUNCTION("""COMPUTED_VALUE"""),"Харьковская_ГП-8")</f>
        <v>Харьковская_ГП-8</v>
      </c>
      <c r="B161" s="168" t="str">
        <f>IFERROR(__xludf.DUMMYFUNCTION("""COMPUTED_VALUE"""),"Харьковская")</f>
        <v>Харьковская</v>
      </c>
      <c r="C161" s="168" t="str">
        <f>IFERROR(__xludf.DUMMYFUNCTION("""COMPUTED_VALUE"""),"ГП-8")</f>
        <v>ГП-8</v>
      </c>
      <c r="D161" s="168" t="str">
        <f>IFERROR(__xludf.DUMMYFUNCTION("""COMPUTED_VALUE"""),"ГП")</f>
        <v>ГП</v>
      </c>
      <c r="E161" s="168">
        <f>IFERROR(__xludf.DUMMYFUNCTION("""COMPUTED_VALUE"""),8.0)</f>
        <v>8</v>
      </c>
      <c r="F161" s="168" t="str">
        <f>IFERROR(__xludf.DUMMYFUNCTION("""COMPUTED_VALUE"""),"🏠")</f>
        <v>🏠</v>
      </c>
      <c r="G161" s="170" t="str">
        <f>IFERROR(__xludf.DUMMYFUNCTION("""COMPUTED_VALUE"""),"Тюмень")</f>
        <v>Тюмень</v>
      </c>
      <c r="H161" s="168" t="str">
        <f>IFERROR(__xludf.DUMMYFUNCTION("""COMPUTED_VALUE"""),"Комфорт")</f>
        <v>Комфорт</v>
      </c>
      <c r="I161" s="168" t="str">
        <f>IFERROR(__xludf.DUMMYFUNCTION("""COMPUTED_VALUE"""),"Краснодар")</f>
        <v>Краснодар</v>
      </c>
      <c r="J161" s="170">
        <f>IFERROR(__xludf.DUMMYFUNCTION("""COMPUTED_VALUE"""),44951.0)</f>
        <v>44951</v>
      </c>
      <c r="K161" s="168">
        <f>IFERROR(__xludf.DUMMYFUNCTION("""COMPUTED_VALUE"""),28671.93)</f>
        <v>28671.93</v>
      </c>
      <c r="L161" s="171" t="str">
        <f>IFERROR(__xludf.DUMMYFUNCTION("""COMPUTED_VALUE"""),"Новые")</f>
        <v>Новые</v>
      </c>
      <c r="M161" s="172">
        <f>IFERROR(__xludf.DUMMYFUNCTION("""COMPUTED_VALUE"""),100000.0)</f>
        <v>100000</v>
      </c>
      <c r="P161" s="168"/>
      <c r="Q161" s="168"/>
    </row>
    <row r="162">
      <c r="A162" s="168" t="str">
        <f>IFERROR(__xludf.DUMMYFUNCTION("""COMPUTED_VALUE"""),"Харьковская_Бульвар")</f>
        <v>Харьковская_Бульвар</v>
      </c>
      <c r="B162" s="168" t="str">
        <f>IFERROR(__xludf.DUMMYFUNCTION("""COMPUTED_VALUE"""),"Харьковская_Бульвар")</f>
        <v>Харьковская_Бульвар</v>
      </c>
      <c r="C162" s="168" t="str">
        <f>IFERROR(__xludf.DUMMYFUNCTION("""COMPUTED_VALUE"""),"этап1")</f>
        <v>этап1</v>
      </c>
      <c r="D162" s="168"/>
      <c r="E162" s="168"/>
      <c r="F162" s="168" t="str">
        <f>IFERROR(__xludf.DUMMYFUNCTION("""COMPUTED_VALUE"""),"💼")</f>
        <v>💼</v>
      </c>
      <c r="G162" s="168" t="str">
        <f>IFERROR(__xludf.DUMMYFUNCTION("""COMPUTED_VALUE"""),"Тюмень")</f>
        <v>Тюмень</v>
      </c>
      <c r="H162" s="168" t="str">
        <f>IFERROR(__xludf.DUMMYFUNCTION("""COMPUTED_VALUE"""),"Комфорт")</f>
        <v>Комфорт</v>
      </c>
      <c r="I162" s="168" t="str">
        <f>IFERROR(__xludf.DUMMYFUNCTION("""COMPUTED_VALUE"""),"#N/A")</f>
        <v>#N/A</v>
      </c>
      <c r="J162" s="170">
        <f>IFERROR(__xludf.DUMMYFUNCTION("""COMPUTED_VALUE"""),45023.0)</f>
        <v>45023</v>
      </c>
      <c r="K162" s="168"/>
      <c r="L162" s="168" t="str">
        <f>IFERROR(__xludf.DUMMYFUNCTION("""COMPUTED_VALUE"""),"#N/A")</f>
        <v>#N/A</v>
      </c>
      <c r="M162" s="172">
        <f>IFERROR(__xludf.DUMMYFUNCTION("""COMPUTED_VALUE"""),100000.0)</f>
        <v>100000</v>
      </c>
      <c r="P162" s="168"/>
      <c r="Q162" s="168"/>
    </row>
    <row r="163">
      <c r="A163" s="168" t="str">
        <f>IFERROR(__xludf.DUMMYFUNCTION("""COMPUTED_VALUE"""),"Шефская_ГП-1")</f>
        <v>Шефская_ГП-1</v>
      </c>
      <c r="B163" s="168" t="str">
        <f>IFERROR(__xludf.DUMMYFUNCTION("""COMPUTED_VALUE"""),"Шефская")</f>
        <v>Шефская</v>
      </c>
      <c r="C163" s="168" t="str">
        <f>IFERROR(__xludf.DUMMYFUNCTION("""COMPUTED_VALUE"""),"ГП-1")</f>
        <v>ГП-1</v>
      </c>
      <c r="D163" s="168" t="str">
        <f>IFERROR(__xludf.DUMMYFUNCTION("""COMPUTED_VALUE"""),"ГП")</f>
        <v>ГП</v>
      </c>
      <c r="E163" s="168">
        <f>IFERROR(__xludf.DUMMYFUNCTION("""COMPUTED_VALUE"""),1.0)</f>
        <v>1</v>
      </c>
      <c r="F163" s="168" t="str">
        <f>IFERROR(__xludf.DUMMYFUNCTION("""COMPUTED_VALUE"""),"🏠")</f>
        <v>🏠</v>
      </c>
      <c r="G163" s="170" t="str">
        <f>IFERROR(__xludf.DUMMYFUNCTION("""COMPUTED_VALUE"""),"Екатеринбург")</f>
        <v>Екатеринбург</v>
      </c>
      <c r="H163" s="168" t="str">
        <f>IFERROR(__xludf.DUMMYFUNCTION("""COMPUTED_VALUE"""),"Комфорт")</f>
        <v>Комфорт</v>
      </c>
      <c r="I163" s="168" t="str">
        <f>IFERROR(__xludf.DUMMYFUNCTION("""COMPUTED_VALUE"""),"Краснодар")</f>
        <v>Краснодар</v>
      </c>
      <c r="J163" s="170">
        <f>IFERROR(__xludf.DUMMYFUNCTION("""COMPUTED_VALUE"""),44951.0)</f>
        <v>44951</v>
      </c>
      <c r="K163" s="168">
        <f>IFERROR(__xludf.DUMMYFUNCTION("""COMPUTED_VALUE"""),28124.25)</f>
        <v>28124.25</v>
      </c>
      <c r="L163" s="171" t="str">
        <f>IFERROR(__xludf.DUMMYFUNCTION("""COMPUTED_VALUE"""),"В работе")</f>
        <v>В работе</v>
      </c>
      <c r="M163" s="172">
        <f>IFERROR(__xludf.DUMMYFUNCTION("""COMPUTED_VALUE"""),100000.0)</f>
        <v>100000</v>
      </c>
      <c r="P163" s="168"/>
      <c r="Q163" s="168"/>
    </row>
    <row r="164">
      <c r="A164" s="168" t="str">
        <f>IFERROR(__xludf.DUMMYFUNCTION("""COMPUTED_VALUE"""),"Шефская_ГП-2")</f>
        <v>Шефская_ГП-2</v>
      </c>
      <c r="B164" s="168" t="str">
        <f>IFERROR(__xludf.DUMMYFUNCTION("""COMPUTED_VALUE"""),"Шефская")</f>
        <v>Шефская</v>
      </c>
      <c r="C164" s="168" t="str">
        <f>IFERROR(__xludf.DUMMYFUNCTION("""COMPUTED_VALUE"""),"ГП-2")</f>
        <v>ГП-2</v>
      </c>
      <c r="D164" s="168" t="str">
        <f>IFERROR(__xludf.DUMMYFUNCTION("""COMPUTED_VALUE"""),"ГП")</f>
        <v>ГП</v>
      </c>
      <c r="E164" s="168">
        <f>IFERROR(__xludf.DUMMYFUNCTION("""COMPUTED_VALUE"""),2.0)</f>
        <v>2</v>
      </c>
      <c r="F164" s="168" t="str">
        <f>IFERROR(__xludf.DUMMYFUNCTION("""COMPUTED_VALUE"""),"🏠")</f>
        <v>🏠</v>
      </c>
      <c r="G164" s="168" t="str">
        <f>IFERROR(__xludf.DUMMYFUNCTION("""COMPUTED_VALUE"""),"Екатеринбург")</f>
        <v>Екатеринбург</v>
      </c>
      <c r="H164" s="168" t="str">
        <f>IFERROR(__xludf.DUMMYFUNCTION("""COMPUTED_VALUE"""),"Комфорт")</f>
        <v>Комфорт</v>
      </c>
      <c r="I164" s="168" t="str">
        <f>IFERROR(__xludf.DUMMYFUNCTION("""COMPUTED_VALUE"""),"Краснодар")</f>
        <v>Краснодар</v>
      </c>
      <c r="J164" s="170">
        <f>IFERROR(__xludf.DUMMYFUNCTION("""COMPUTED_VALUE"""),44988.0)</f>
        <v>44988</v>
      </c>
      <c r="K164" s="168">
        <f>IFERROR(__xludf.DUMMYFUNCTION("""COMPUTED_VALUE"""),29808.0)</f>
        <v>29808</v>
      </c>
      <c r="L164" s="171" t="str">
        <f>IFERROR(__xludf.DUMMYFUNCTION("""COMPUTED_VALUE"""),"Новые")</f>
        <v>Новые</v>
      </c>
      <c r="M164" s="172">
        <f>IFERROR(__xludf.DUMMYFUNCTION("""COMPUTED_VALUE"""),100000.0)</f>
        <v>100000</v>
      </c>
      <c r="P164" s="168"/>
      <c r="Q164" s="168"/>
    </row>
    <row r="165">
      <c r="A165" s="168" t="str">
        <f>IFERROR(__xludf.DUMMYFUNCTION("""COMPUTED_VALUE"""),"Элеваторная_")</f>
        <v>Элеваторная_</v>
      </c>
      <c r="B165" s="168" t="str">
        <f>IFERROR(__xludf.DUMMYFUNCTION("""COMPUTED_VALUE"""),"Элеваторная")</f>
        <v>Элеваторная</v>
      </c>
      <c r="C165" s="168"/>
      <c r="D165" s="168" t="str">
        <f>IFERROR(__xludf.DUMMYFUNCTION("""COMPUTED_VALUE"""),"#VALUE!")</f>
        <v>#VALUE!</v>
      </c>
      <c r="E165" s="168"/>
      <c r="F165" s="168" t="str">
        <f>IFERROR(__xludf.DUMMYFUNCTION("""COMPUTED_VALUE"""),"🍿")</f>
        <v>🍿</v>
      </c>
      <c r="G165" s="170" t="str">
        <f>IFERROR(__xludf.DUMMYFUNCTION("""COMPUTED_VALUE"""),"Москва")</f>
        <v>Москва</v>
      </c>
      <c r="H165" s="168"/>
      <c r="I165" s="168" t="str">
        <f>IFERROR(__xludf.DUMMYFUNCTION("""COMPUTED_VALUE"""),"Внешний")</f>
        <v>Внешний</v>
      </c>
      <c r="J165" s="170">
        <f>IFERROR(__xludf.DUMMYFUNCTION("""COMPUTED_VALUE"""),44988.0)</f>
        <v>44988</v>
      </c>
      <c r="K165" s="168"/>
      <c r="L165" s="168" t="str">
        <f>IFERROR(__xludf.DUMMYFUNCTION("""COMPUTED_VALUE"""),"#N/A")</f>
        <v>#N/A</v>
      </c>
      <c r="M165" s="172">
        <f>IFERROR(__xludf.DUMMYFUNCTION("""COMPUTED_VALUE"""),200000.0)</f>
        <v>200000</v>
      </c>
      <c r="P165" s="168"/>
      <c r="Q165" s="168"/>
    </row>
    <row r="166">
      <c r="A166" s="168"/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P166" s="168"/>
      <c r="Q166" s="168"/>
    </row>
    <row r="167">
      <c r="A167" s="168"/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P167" s="168"/>
      <c r="Q167" s="168"/>
    </row>
    <row r="168">
      <c r="A168" s="168"/>
      <c r="B168" s="168"/>
      <c r="C168" s="168"/>
      <c r="D168" s="168"/>
      <c r="E168" s="168"/>
      <c r="F168" s="168"/>
      <c r="G168" s="168"/>
      <c r="H168" s="168"/>
      <c r="I168" s="168"/>
      <c r="J168" s="168"/>
      <c r="K168" s="168"/>
      <c r="L168" s="168"/>
      <c r="M168" s="168"/>
      <c r="P168" s="168"/>
      <c r="Q168" s="168"/>
    </row>
    <row r="169">
      <c r="A169" s="168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8"/>
      <c r="P169" s="168"/>
      <c r="Q169" s="168"/>
    </row>
    <row r="170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68"/>
      <c r="P170" s="168"/>
      <c r="Q170" s="168"/>
    </row>
    <row r="171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P171" s="168"/>
      <c r="Q171" s="168"/>
    </row>
    <row r="172">
      <c r="A172" s="168"/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P172" s="168"/>
      <c r="Q172" s="168"/>
    </row>
    <row r="173">
      <c r="A173" s="168"/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P173" s="168"/>
      <c r="Q173" s="168"/>
    </row>
    <row r="174">
      <c r="A174" s="168"/>
      <c r="B174" s="168"/>
      <c r="C174" s="168"/>
      <c r="D174" s="168"/>
      <c r="E174" s="168"/>
      <c r="F174" s="168"/>
      <c r="G174" s="168"/>
      <c r="H174" s="168"/>
      <c r="I174" s="168"/>
      <c r="J174" s="168"/>
      <c r="K174" s="168"/>
      <c r="L174" s="168"/>
      <c r="M174" s="168"/>
      <c r="P174" s="168"/>
      <c r="Q174" s="168"/>
    </row>
    <row r="175">
      <c r="A175" s="16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68"/>
      <c r="P175" s="168"/>
      <c r="Q175" s="168"/>
    </row>
    <row r="176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68"/>
      <c r="P176" s="168"/>
      <c r="Q176" s="168"/>
    </row>
    <row r="177">
      <c r="A177" s="168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P177" s="168"/>
      <c r="Q177" s="168"/>
    </row>
    <row r="178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P178" s="168"/>
      <c r="Q178" s="168"/>
    </row>
    <row r="179">
      <c r="A179" s="168"/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P179" s="168"/>
      <c r="Q179" s="168"/>
    </row>
    <row r="180">
      <c r="A180" s="16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P180" s="168"/>
      <c r="Q180" s="168"/>
    </row>
    <row r="181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68"/>
      <c r="P181" s="168"/>
      <c r="Q181" s="168"/>
    </row>
    <row r="182">
      <c r="A182" s="168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8"/>
      <c r="M182" s="168"/>
      <c r="P182" s="168"/>
      <c r="Q182" s="168"/>
    </row>
    <row r="183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P183" s="168"/>
      <c r="Q183" s="168"/>
    </row>
    <row r="184">
      <c r="A184" s="168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P184" s="168"/>
      <c r="Q184" s="168"/>
    </row>
    <row r="185">
      <c r="A185" s="168"/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P185" s="168"/>
      <c r="Q185" s="168"/>
    </row>
    <row r="186">
      <c r="A186" s="16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P186" s="168"/>
      <c r="Q186" s="168"/>
    </row>
    <row r="187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  <c r="P187" s="168"/>
      <c r="Q187" s="168"/>
    </row>
    <row r="188">
      <c r="A188" s="168"/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P188" s="168"/>
      <c r="Q188" s="168"/>
    </row>
    <row r="189">
      <c r="A189" s="168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P189" s="168"/>
      <c r="Q189" s="168"/>
    </row>
    <row r="190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8"/>
      <c r="M190" s="168"/>
      <c r="P190" s="168"/>
      <c r="Q190" s="168"/>
    </row>
    <row r="191">
      <c r="A191" s="16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P191" s="168"/>
      <c r="Q191" s="168"/>
    </row>
    <row r="192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P192" s="168"/>
      <c r="Q192" s="168"/>
    </row>
    <row r="193">
      <c r="A193" s="168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P193" s="168"/>
      <c r="Q193" s="168"/>
    </row>
    <row r="194">
      <c r="A194" s="168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P194" s="168"/>
      <c r="Q194" s="168"/>
    </row>
    <row r="195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P195" s="168"/>
      <c r="Q195" s="168"/>
    </row>
    <row r="196">
      <c r="A196" s="168"/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P196" s="168"/>
      <c r="Q196" s="168"/>
    </row>
    <row r="197">
      <c r="A197" s="168"/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P197" s="168"/>
      <c r="Q197" s="168"/>
    </row>
    <row r="198">
      <c r="A198" s="168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8"/>
      <c r="P198" s="168"/>
      <c r="Q198" s="168"/>
    </row>
    <row r="199">
      <c r="A199" s="16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68"/>
      <c r="P199" s="168"/>
      <c r="Q199" s="168"/>
    </row>
    <row r="200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P200" s="168"/>
      <c r="Q200" s="168"/>
    </row>
    <row r="201">
      <c r="A201" s="168"/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P201" s="168"/>
      <c r="Q201" s="168"/>
    </row>
    <row r="202">
      <c r="A202" s="168"/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P202" s="168"/>
      <c r="Q202" s="168"/>
    </row>
    <row r="203">
      <c r="A203" s="168"/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P203" s="168"/>
      <c r="Q203" s="168"/>
    </row>
    <row r="204">
      <c r="A204" s="16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8"/>
      <c r="P204" s="168"/>
      <c r="Q204" s="168"/>
    </row>
    <row r="205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68"/>
      <c r="P205" s="168"/>
      <c r="Q205" s="168"/>
    </row>
    <row r="206">
      <c r="A206" s="168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P206" s="168"/>
      <c r="Q206" s="168"/>
    </row>
    <row r="207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P207" s="168"/>
      <c r="Q207" s="168"/>
    </row>
    <row r="208">
      <c r="A208" s="168"/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P208" s="168"/>
      <c r="Q208" s="168"/>
    </row>
    <row r="209">
      <c r="A209" s="168"/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P209" s="168"/>
      <c r="Q209" s="168"/>
    </row>
    <row r="210">
      <c r="A210" s="16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68"/>
      <c r="P210" s="168"/>
      <c r="Q210" s="168"/>
    </row>
    <row r="211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68"/>
      <c r="P211" s="168"/>
      <c r="Q211" s="168"/>
    </row>
    <row r="212">
      <c r="A212" s="168"/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P212" s="168"/>
      <c r="Q212" s="168"/>
    </row>
    <row r="213">
      <c r="A213" s="168"/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P213" s="168"/>
      <c r="Q213" s="168"/>
    </row>
    <row r="214">
      <c r="A214" s="168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P214" s="168"/>
      <c r="Q214" s="168"/>
    </row>
    <row r="215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8"/>
      <c r="P215" s="168"/>
      <c r="Q215" s="168"/>
    </row>
    <row r="216">
      <c r="A216" s="16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P216" s="168"/>
      <c r="Q216" s="168"/>
    </row>
    <row r="217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P217" s="168"/>
      <c r="Q217" s="168"/>
    </row>
    <row r="218">
      <c r="A218" s="168"/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68"/>
      <c r="P218" s="168"/>
      <c r="Q218" s="168"/>
    </row>
    <row r="219">
      <c r="A219" s="168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P219" s="168"/>
      <c r="Q219" s="168"/>
    </row>
    <row r="220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P220" s="168"/>
      <c r="Q220" s="168"/>
    </row>
    <row r="221">
      <c r="A221" s="168"/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P221" s="168"/>
      <c r="Q221" s="168"/>
    </row>
    <row r="222">
      <c r="A222" s="16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P222" s="168"/>
      <c r="Q222" s="168"/>
    </row>
    <row r="223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68"/>
      <c r="P223" s="168"/>
      <c r="Q223" s="168"/>
    </row>
    <row r="224">
      <c r="A224" s="168"/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P224" s="168"/>
      <c r="Q224" s="168"/>
    </row>
    <row r="225">
      <c r="A225" s="168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P225" s="168"/>
      <c r="Q225" s="168"/>
    </row>
    <row r="226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8"/>
      <c r="P226" s="168"/>
      <c r="Q226" s="168"/>
    </row>
    <row r="227">
      <c r="A227" s="16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8"/>
      <c r="P227" s="168"/>
      <c r="Q227" s="168"/>
    </row>
    <row r="228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P228" s="168"/>
      <c r="Q228" s="168"/>
    </row>
    <row r="229">
      <c r="A229" s="168"/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P229" s="168"/>
      <c r="Q229" s="168"/>
    </row>
    <row r="230">
      <c r="A230" s="168"/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P230" s="168"/>
      <c r="Q230" s="168"/>
    </row>
    <row r="231">
      <c r="A231" s="168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P231" s="168"/>
      <c r="Q231" s="168"/>
    </row>
    <row r="23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8"/>
      <c r="P232" s="168"/>
      <c r="Q232" s="168"/>
    </row>
    <row r="233">
      <c r="A233" s="16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68"/>
      <c r="P233" s="168"/>
      <c r="Q233" s="168"/>
    </row>
    <row r="234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P234" s="168"/>
      <c r="Q234" s="168"/>
    </row>
    <row r="235">
      <c r="A235" s="168"/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P235" s="168"/>
      <c r="Q235" s="168"/>
    </row>
    <row r="236">
      <c r="A236" s="168"/>
      <c r="B236" s="168"/>
      <c r="C236" s="168"/>
      <c r="D236" s="168"/>
      <c r="E236" s="168"/>
      <c r="F236" s="168"/>
      <c r="G236" s="168"/>
      <c r="H236" s="168"/>
      <c r="I236" s="168"/>
      <c r="J236" s="168"/>
      <c r="K236" s="168"/>
      <c r="L236" s="168"/>
      <c r="M236" s="168"/>
      <c r="P236" s="168"/>
      <c r="Q236" s="168"/>
    </row>
    <row r="237">
      <c r="A237" s="16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8"/>
      <c r="P237" s="168"/>
      <c r="Q237" s="168"/>
    </row>
    <row r="238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68"/>
      <c r="P238" s="168"/>
      <c r="Q238" s="168"/>
    </row>
    <row r="239">
      <c r="A239" s="168"/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P239" s="168"/>
      <c r="Q239" s="168"/>
    </row>
    <row r="240">
      <c r="A240" s="168"/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P240" s="168"/>
      <c r="Q240" s="168"/>
    </row>
    <row r="241">
      <c r="A241" s="168"/>
      <c r="B241" s="168"/>
      <c r="C241" s="168"/>
      <c r="D241" s="168"/>
      <c r="E241" s="168"/>
      <c r="F241" s="168"/>
      <c r="G241" s="168"/>
      <c r="H241" s="168"/>
      <c r="I241" s="168"/>
      <c r="J241" s="168"/>
      <c r="K241" s="168"/>
      <c r="L241" s="168"/>
      <c r="M241" s="168"/>
      <c r="P241" s="168"/>
      <c r="Q241" s="168"/>
    </row>
    <row r="242">
      <c r="A242" s="168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8"/>
      <c r="M242" s="168"/>
      <c r="P242" s="168"/>
      <c r="Q242" s="168"/>
    </row>
    <row r="243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68"/>
      <c r="P243" s="168"/>
      <c r="Q243" s="168"/>
    </row>
    <row r="244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68"/>
      <c r="P244" s="168"/>
      <c r="Q244" s="168"/>
    </row>
    <row r="245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P245" s="168"/>
      <c r="Q245" s="168"/>
    </row>
    <row r="246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68"/>
      <c r="M246" s="168"/>
      <c r="P246" s="168"/>
      <c r="Q246" s="168"/>
    </row>
    <row r="247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68"/>
      <c r="M247" s="168"/>
      <c r="P247" s="168"/>
      <c r="Q247" s="168"/>
    </row>
    <row r="248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68"/>
      <c r="M248" s="168"/>
      <c r="P248" s="168"/>
      <c r="Q248" s="168"/>
    </row>
    <row r="249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68"/>
      <c r="M249" s="168"/>
      <c r="P249" s="168"/>
      <c r="Q249" s="168"/>
    </row>
    <row r="250">
      <c r="A250" s="168"/>
      <c r="B250" s="168"/>
      <c r="C250" s="168"/>
      <c r="D250" s="168"/>
      <c r="E250" s="168"/>
      <c r="F250" s="168"/>
      <c r="G250" s="168"/>
      <c r="H250" s="168"/>
      <c r="I250" s="168"/>
      <c r="J250" s="168"/>
      <c r="K250" s="168"/>
      <c r="L250" s="168"/>
      <c r="M250" s="168"/>
      <c r="P250" s="168"/>
      <c r="Q250" s="168"/>
    </row>
    <row r="251">
      <c r="A251" s="168"/>
      <c r="B251" s="168"/>
      <c r="C251" s="168"/>
      <c r="D251" s="168"/>
      <c r="E251" s="168"/>
      <c r="F251" s="168"/>
      <c r="G251" s="168"/>
      <c r="H251" s="168"/>
      <c r="I251" s="168"/>
      <c r="J251" s="168"/>
      <c r="K251" s="168"/>
      <c r="L251" s="168"/>
      <c r="M251" s="168"/>
      <c r="P251" s="168"/>
      <c r="Q251" s="168"/>
    </row>
    <row r="252">
      <c r="A252" s="168"/>
      <c r="B252" s="168"/>
      <c r="C252" s="168"/>
      <c r="D252" s="168"/>
      <c r="E252" s="168"/>
      <c r="F252" s="168"/>
      <c r="G252" s="168"/>
      <c r="H252" s="168"/>
      <c r="I252" s="168"/>
      <c r="J252" s="168"/>
      <c r="K252" s="168"/>
      <c r="L252" s="168"/>
      <c r="M252" s="168"/>
      <c r="P252" s="168"/>
      <c r="Q252" s="168"/>
    </row>
    <row r="253">
      <c r="A253" s="168"/>
      <c r="B253" s="168"/>
      <c r="C253" s="168"/>
      <c r="D253" s="168"/>
      <c r="E253" s="168"/>
      <c r="F253" s="168"/>
      <c r="G253" s="168"/>
      <c r="H253" s="168"/>
      <c r="I253" s="168"/>
      <c r="J253" s="168"/>
      <c r="K253" s="168"/>
      <c r="L253" s="168"/>
      <c r="M253" s="168"/>
      <c r="P253" s="168"/>
      <c r="Q253" s="168"/>
    </row>
    <row r="254">
      <c r="A254" s="168"/>
      <c r="B254" s="168"/>
      <c r="C254" s="168"/>
      <c r="D254" s="168"/>
      <c r="E254" s="168"/>
      <c r="F254" s="168"/>
      <c r="G254" s="168"/>
      <c r="H254" s="168"/>
      <c r="I254" s="168"/>
      <c r="J254" s="168"/>
      <c r="K254" s="168"/>
      <c r="L254" s="168"/>
      <c r="M254" s="168"/>
      <c r="P254" s="168"/>
      <c r="Q254" s="168"/>
    </row>
    <row r="255">
      <c r="A255" s="16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68"/>
      <c r="P255" s="168"/>
      <c r="Q255" s="168"/>
    </row>
    <row r="256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68"/>
      <c r="P256" s="168"/>
      <c r="Q256" s="168"/>
    </row>
    <row r="257">
      <c r="A257" s="168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68"/>
      <c r="P257" s="168"/>
      <c r="Q257" s="168"/>
    </row>
    <row r="258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68"/>
      <c r="P258" s="168"/>
      <c r="Q258" s="168"/>
    </row>
    <row r="259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68"/>
      <c r="P259" s="168"/>
      <c r="Q259" s="168"/>
    </row>
    <row r="260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68"/>
      <c r="P260" s="168"/>
      <c r="Q260" s="168"/>
    </row>
    <row r="261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68"/>
      <c r="P261" s="168"/>
      <c r="Q261" s="168"/>
    </row>
    <row r="262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68"/>
      <c r="P262" s="168"/>
      <c r="Q262" s="168"/>
    </row>
    <row r="263">
      <c r="A263" s="168"/>
      <c r="B263" s="168"/>
      <c r="C263" s="168"/>
      <c r="D263" s="168"/>
      <c r="E263" s="168"/>
      <c r="F263" s="168"/>
      <c r="G263" s="168"/>
      <c r="H263" s="168"/>
      <c r="I263" s="168"/>
      <c r="J263" s="168"/>
      <c r="K263" s="168"/>
      <c r="L263" s="168"/>
      <c r="M263" s="168"/>
      <c r="P263" s="168"/>
      <c r="Q263" s="168"/>
    </row>
    <row r="264">
      <c r="A264" s="168"/>
      <c r="B264" s="168"/>
      <c r="C264" s="168"/>
      <c r="D264" s="168"/>
      <c r="E264" s="168"/>
      <c r="F264" s="168"/>
      <c r="G264" s="168"/>
      <c r="H264" s="168"/>
      <c r="I264" s="168"/>
      <c r="J264" s="168"/>
      <c r="K264" s="168"/>
      <c r="L264" s="168"/>
      <c r="M264" s="168"/>
      <c r="P264" s="168"/>
      <c r="Q264" s="168"/>
    </row>
    <row r="265">
      <c r="A265" s="168"/>
      <c r="B265" s="168"/>
      <c r="C265" s="168"/>
      <c r="D265" s="168"/>
      <c r="E265" s="168"/>
      <c r="F265" s="168"/>
      <c r="G265" s="168"/>
      <c r="H265" s="168"/>
      <c r="I265" s="168"/>
      <c r="J265" s="168"/>
      <c r="K265" s="168"/>
      <c r="L265" s="168"/>
      <c r="M265" s="168"/>
      <c r="P265" s="168"/>
      <c r="Q265" s="168"/>
    </row>
    <row r="266">
      <c r="A266" s="168"/>
      <c r="B266" s="168"/>
      <c r="C266" s="168"/>
      <c r="D266" s="168"/>
      <c r="E266" s="168"/>
      <c r="F266" s="168"/>
      <c r="G266" s="168"/>
      <c r="H266" s="168"/>
      <c r="I266" s="168"/>
      <c r="J266" s="168"/>
      <c r="K266" s="168"/>
      <c r="L266" s="168"/>
      <c r="M266" s="168"/>
      <c r="P266" s="168"/>
      <c r="Q266" s="168"/>
    </row>
    <row r="267">
      <c r="A267" s="168"/>
      <c r="B267" s="168"/>
      <c r="C267" s="168"/>
      <c r="D267" s="168"/>
      <c r="E267" s="168"/>
      <c r="F267" s="168"/>
      <c r="G267" s="168"/>
      <c r="H267" s="168"/>
      <c r="I267" s="168"/>
      <c r="J267" s="168"/>
      <c r="K267" s="168"/>
      <c r="L267" s="168"/>
      <c r="M267" s="168"/>
      <c r="P267" s="168"/>
      <c r="Q267" s="168"/>
    </row>
    <row r="268">
      <c r="A268" s="168"/>
      <c r="B268" s="168"/>
      <c r="C268" s="168"/>
      <c r="D268" s="168"/>
      <c r="E268" s="168"/>
      <c r="F268" s="168"/>
      <c r="G268" s="168"/>
      <c r="H268" s="168"/>
      <c r="I268" s="168"/>
      <c r="J268" s="168"/>
      <c r="K268" s="168"/>
      <c r="L268" s="168"/>
      <c r="M268" s="168"/>
      <c r="P268" s="168"/>
      <c r="Q268" s="168"/>
    </row>
    <row r="269">
      <c r="A269" s="168"/>
      <c r="B269" s="168"/>
      <c r="C269" s="168"/>
      <c r="D269" s="168"/>
      <c r="E269" s="168"/>
      <c r="F269" s="168"/>
      <c r="G269" s="168"/>
      <c r="H269" s="168"/>
      <c r="I269" s="168"/>
      <c r="J269" s="168"/>
      <c r="K269" s="168"/>
      <c r="L269" s="168"/>
      <c r="M269" s="168"/>
      <c r="P269" s="168"/>
      <c r="Q269" s="168"/>
    </row>
    <row r="270">
      <c r="A270" s="168"/>
      <c r="B270" s="168"/>
      <c r="C270" s="168"/>
      <c r="D270" s="168"/>
      <c r="E270" s="168"/>
      <c r="F270" s="168"/>
      <c r="G270" s="168"/>
      <c r="H270" s="168"/>
      <c r="I270" s="168"/>
      <c r="J270" s="168"/>
      <c r="K270" s="168"/>
      <c r="L270" s="168"/>
      <c r="M270" s="168"/>
      <c r="P270" s="168"/>
      <c r="Q270" s="168"/>
    </row>
    <row r="271">
      <c r="A271" s="168"/>
      <c r="B271" s="168"/>
      <c r="C271" s="168"/>
      <c r="D271" s="168"/>
      <c r="E271" s="168"/>
      <c r="F271" s="168"/>
      <c r="G271" s="168"/>
      <c r="H271" s="168"/>
      <c r="I271" s="168"/>
      <c r="J271" s="168"/>
      <c r="K271" s="168"/>
      <c r="L271" s="168"/>
      <c r="M271" s="168"/>
      <c r="P271" s="168"/>
      <c r="Q271" s="168"/>
    </row>
    <row r="272">
      <c r="A272" s="168"/>
      <c r="B272" s="168"/>
      <c r="C272" s="168"/>
      <c r="D272" s="168"/>
      <c r="E272" s="168"/>
      <c r="F272" s="168"/>
      <c r="G272" s="168"/>
      <c r="H272" s="168"/>
      <c r="I272" s="168"/>
      <c r="J272" s="168"/>
      <c r="K272" s="168"/>
      <c r="L272" s="168"/>
      <c r="M272" s="168"/>
      <c r="P272" s="168"/>
      <c r="Q272" s="168"/>
    </row>
    <row r="273">
      <c r="A273" s="168"/>
      <c r="B273" s="168"/>
      <c r="C273" s="168"/>
      <c r="D273" s="168"/>
      <c r="E273" s="168"/>
      <c r="F273" s="168"/>
      <c r="G273" s="168"/>
      <c r="H273" s="168"/>
      <c r="I273" s="168"/>
      <c r="J273" s="168"/>
      <c r="K273" s="168"/>
      <c r="L273" s="168"/>
      <c r="M273" s="168"/>
      <c r="P273" s="168"/>
      <c r="Q273" s="168"/>
    </row>
    <row r="274">
      <c r="A274" s="168"/>
      <c r="B274" s="168"/>
      <c r="C274" s="168"/>
      <c r="D274" s="168"/>
      <c r="E274" s="168"/>
      <c r="F274" s="168"/>
      <c r="G274" s="168"/>
      <c r="H274" s="168"/>
      <c r="I274" s="168"/>
      <c r="J274" s="168"/>
      <c r="K274" s="168"/>
      <c r="L274" s="168"/>
      <c r="M274" s="168"/>
      <c r="P274" s="168"/>
      <c r="Q274" s="168"/>
    </row>
    <row r="275">
      <c r="A275" s="168"/>
      <c r="B275" s="168"/>
      <c r="C275" s="168"/>
      <c r="D275" s="168"/>
      <c r="E275" s="168"/>
      <c r="F275" s="168"/>
      <c r="G275" s="168"/>
      <c r="H275" s="168"/>
      <c r="I275" s="168"/>
      <c r="J275" s="168"/>
      <c r="K275" s="168"/>
      <c r="L275" s="168"/>
      <c r="M275" s="168"/>
      <c r="P275" s="168"/>
      <c r="Q275" s="168"/>
    </row>
    <row r="276">
      <c r="A276" s="168"/>
      <c r="B276" s="168"/>
      <c r="C276" s="168"/>
      <c r="D276" s="168"/>
      <c r="E276" s="168"/>
      <c r="F276" s="168"/>
      <c r="G276" s="168"/>
      <c r="H276" s="168"/>
      <c r="I276" s="168"/>
      <c r="J276" s="168"/>
      <c r="K276" s="168"/>
      <c r="L276" s="168"/>
      <c r="M276" s="168"/>
      <c r="P276" s="168"/>
      <c r="Q276" s="168"/>
    </row>
    <row r="277">
      <c r="A277" s="168"/>
      <c r="B277" s="168"/>
      <c r="C277" s="168"/>
      <c r="D277" s="168"/>
      <c r="E277" s="168"/>
      <c r="F277" s="168"/>
      <c r="G277" s="168"/>
      <c r="H277" s="168"/>
      <c r="I277" s="168"/>
      <c r="J277" s="168"/>
      <c r="K277" s="168"/>
      <c r="L277" s="168"/>
      <c r="M277" s="168"/>
      <c r="P277" s="168"/>
      <c r="Q277" s="168"/>
    </row>
    <row r="278">
      <c r="A278" s="168"/>
      <c r="B278" s="168"/>
      <c r="C278" s="168"/>
      <c r="D278" s="168"/>
      <c r="E278" s="168"/>
      <c r="F278" s="168"/>
      <c r="G278" s="168"/>
      <c r="H278" s="168"/>
      <c r="I278" s="168"/>
      <c r="J278" s="168"/>
      <c r="K278" s="168"/>
      <c r="L278" s="168"/>
      <c r="M278" s="168"/>
      <c r="P278" s="168"/>
      <c r="Q278" s="168"/>
    </row>
    <row r="279">
      <c r="A279" s="168"/>
      <c r="B279" s="168"/>
      <c r="C279" s="168"/>
      <c r="D279" s="168"/>
      <c r="E279" s="168"/>
      <c r="F279" s="168"/>
      <c r="G279" s="168"/>
      <c r="H279" s="168"/>
      <c r="I279" s="168"/>
      <c r="J279" s="168"/>
      <c r="K279" s="168"/>
      <c r="L279" s="168"/>
      <c r="M279" s="168"/>
      <c r="P279" s="168"/>
      <c r="Q279" s="168"/>
    </row>
    <row r="280">
      <c r="A280" s="168"/>
      <c r="B280" s="168"/>
      <c r="C280" s="168"/>
      <c r="D280" s="168"/>
      <c r="E280" s="168"/>
      <c r="F280" s="168"/>
      <c r="G280" s="168"/>
      <c r="H280" s="168"/>
      <c r="I280" s="168"/>
      <c r="J280" s="168"/>
      <c r="K280" s="168"/>
      <c r="L280" s="168"/>
      <c r="M280" s="168"/>
      <c r="P280" s="168"/>
      <c r="Q280" s="168"/>
    </row>
    <row r="281">
      <c r="A281" s="168"/>
      <c r="B281" s="168"/>
      <c r="C281" s="168"/>
      <c r="D281" s="168"/>
      <c r="E281" s="168"/>
      <c r="F281" s="168"/>
      <c r="G281" s="168"/>
      <c r="H281" s="168"/>
      <c r="I281" s="168"/>
      <c r="J281" s="168"/>
      <c r="K281" s="168"/>
      <c r="L281" s="168"/>
      <c r="M281" s="168"/>
      <c r="P281" s="168"/>
      <c r="Q281" s="168"/>
    </row>
    <row r="282">
      <c r="A282" s="168"/>
      <c r="B282" s="168"/>
      <c r="C282" s="168"/>
      <c r="D282" s="168"/>
      <c r="E282" s="168"/>
      <c r="F282" s="168"/>
      <c r="G282" s="168"/>
      <c r="H282" s="168"/>
      <c r="I282" s="168"/>
      <c r="J282" s="168"/>
      <c r="K282" s="168"/>
      <c r="L282" s="168"/>
      <c r="M282" s="168"/>
      <c r="P282" s="168"/>
      <c r="Q282" s="168"/>
    </row>
    <row r="283">
      <c r="A283" s="168"/>
      <c r="B283" s="168"/>
      <c r="C283" s="168"/>
      <c r="D283" s="168"/>
      <c r="E283" s="168"/>
      <c r="F283" s="168"/>
      <c r="G283" s="168"/>
      <c r="H283" s="168"/>
      <c r="I283" s="168"/>
      <c r="J283" s="168"/>
      <c r="K283" s="168"/>
      <c r="L283" s="168"/>
      <c r="M283" s="168"/>
      <c r="P283" s="168"/>
      <c r="Q283" s="168"/>
    </row>
    <row r="284">
      <c r="A284" s="168"/>
      <c r="B284" s="168"/>
      <c r="C284" s="168"/>
      <c r="D284" s="168"/>
      <c r="E284" s="168"/>
      <c r="F284" s="168"/>
      <c r="G284" s="168"/>
      <c r="H284" s="168"/>
      <c r="I284" s="168"/>
      <c r="J284" s="168"/>
      <c r="K284" s="168"/>
      <c r="L284" s="168"/>
      <c r="M284" s="168"/>
      <c r="P284" s="168"/>
      <c r="Q284" s="168"/>
    </row>
    <row r="285">
      <c r="A285" s="168"/>
      <c r="B285" s="168"/>
      <c r="C285" s="168"/>
      <c r="D285" s="168"/>
      <c r="E285" s="168"/>
      <c r="F285" s="168"/>
      <c r="G285" s="168"/>
      <c r="H285" s="168"/>
      <c r="I285" s="168"/>
      <c r="J285" s="168"/>
      <c r="K285" s="168"/>
      <c r="L285" s="168"/>
      <c r="M285" s="168"/>
      <c r="P285" s="168"/>
      <c r="Q285" s="168"/>
    </row>
    <row r="286">
      <c r="A286" s="168"/>
      <c r="B286" s="168"/>
      <c r="C286" s="168"/>
      <c r="D286" s="168"/>
      <c r="E286" s="168"/>
      <c r="F286" s="168"/>
      <c r="G286" s="168"/>
      <c r="H286" s="168"/>
      <c r="I286" s="168"/>
      <c r="J286" s="168"/>
      <c r="K286" s="168"/>
      <c r="L286" s="168"/>
      <c r="M286" s="168"/>
      <c r="P286" s="168"/>
      <c r="Q286" s="168"/>
    </row>
    <row r="287">
      <c r="A287" s="168"/>
      <c r="B287" s="168"/>
      <c r="C287" s="168"/>
      <c r="D287" s="168"/>
      <c r="E287" s="168"/>
      <c r="F287" s="168"/>
      <c r="G287" s="168"/>
      <c r="H287" s="168"/>
      <c r="I287" s="168"/>
      <c r="J287" s="168"/>
      <c r="K287" s="168"/>
      <c r="L287" s="168"/>
      <c r="M287" s="168"/>
      <c r="P287" s="168"/>
      <c r="Q287" s="168"/>
    </row>
    <row r="288">
      <c r="A288" s="168"/>
      <c r="B288" s="168"/>
      <c r="C288" s="168"/>
      <c r="D288" s="168"/>
      <c r="E288" s="168"/>
      <c r="F288" s="168"/>
      <c r="G288" s="168"/>
      <c r="H288" s="168"/>
      <c r="I288" s="168"/>
      <c r="J288" s="168"/>
      <c r="K288" s="168"/>
      <c r="L288" s="168"/>
      <c r="M288" s="168"/>
      <c r="P288" s="168"/>
      <c r="Q288" s="168"/>
    </row>
    <row r="289">
      <c r="A289" s="168"/>
      <c r="B289" s="168"/>
      <c r="C289" s="168"/>
      <c r="D289" s="168"/>
      <c r="E289" s="168"/>
      <c r="F289" s="168"/>
      <c r="G289" s="168"/>
      <c r="H289" s="168"/>
      <c r="I289" s="168"/>
      <c r="J289" s="168"/>
      <c r="K289" s="168"/>
      <c r="L289" s="168"/>
      <c r="M289" s="168"/>
      <c r="P289" s="168"/>
      <c r="Q289" s="168"/>
    </row>
    <row r="290">
      <c r="A290" s="168"/>
      <c r="B290" s="168"/>
      <c r="C290" s="168"/>
      <c r="D290" s="168"/>
      <c r="E290" s="168"/>
      <c r="F290" s="168"/>
      <c r="G290" s="168"/>
      <c r="H290" s="168"/>
      <c r="I290" s="168"/>
      <c r="J290" s="168"/>
      <c r="K290" s="168"/>
      <c r="L290" s="168"/>
      <c r="M290" s="168"/>
      <c r="P290" s="168"/>
      <c r="Q290" s="168"/>
    </row>
    <row r="291">
      <c r="A291" s="168"/>
      <c r="B291" s="168"/>
      <c r="C291" s="168"/>
      <c r="D291" s="168"/>
      <c r="E291" s="168"/>
      <c r="F291" s="168"/>
      <c r="G291" s="168"/>
      <c r="H291" s="168"/>
      <c r="I291" s="168"/>
      <c r="J291" s="168"/>
      <c r="K291" s="168"/>
      <c r="L291" s="168"/>
      <c r="M291" s="168"/>
      <c r="P291" s="168"/>
      <c r="Q291" s="168"/>
    </row>
    <row r="292">
      <c r="A292" s="168"/>
      <c r="B292" s="168"/>
      <c r="C292" s="168"/>
      <c r="D292" s="168"/>
      <c r="E292" s="168"/>
      <c r="F292" s="168"/>
      <c r="G292" s="168"/>
      <c r="H292" s="168"/>
      <c r="I292" s="168"/>
      <c r="J292" s="168"/>
      <c r="K292" s="168"/>
      <c r="L292" s="168"/>
      <c r="M292" s="168"/>
      <c r="P292" s="168"/>
      <c r="Q292" s="168"/>
    </row>
    <row r="293">
      <c r="A293" s="168"/>
      <c r="B293" s="168"/>
      <c r="C293" s="168"/>
      <c r="D293" s="168"/>
      <c r="E293" s="168"/>
      <c r="F293" s="168"/>
      <c r="G293" s="168"/>
      <c r="H293" s="168"/>
      <c r="I293" s="168"/>
      <c r="J293" s="168"/>
      <c r="K293" s="168"/>
      <c r="L293" s="168"/>
      <c r="M293" s="168"/>
      <c r="P293" s="168"/>
      <c r="Q293" s="168"/>
    </row>
    <row r="294">
      <c r="A294" s="168"/>
      <c r="B294" s="168"/>
      <c r="C294" s="168"/>
      <c r="D294" s="168"/>
      <c r="E294" s="168"/>
      <c r="F294" s="168"/>
      <c r="G294" s="168"/>
      <c r="H294" s="168"/>
      <c r="I294" s="168"/>
      <c r="J294" s="168"/>
      <c r="K294" s="168"/>
      <c r="L294" s="168"/>
      <c r="M294" s="168"/>
      <c r="P294" s="168"/>
      <c r="Q294" s="168"/>
    </row>
    <row r="295">
      <c r="A295" s="168"/>
      <c r="B295" s="168"/>
      <c r="C295" s="168"/>
      <c r="D295" s="168"/>
      <c r="E295" s="168"/>
      <c r="F295" s="168"/>
      <c r="G295" s="168"/>
      <c r="H295" s="168"/>
      <c r="I295" s="168"/>
      <c r="J295" s="168"/>
      <c r="K295" s="168"/>
      <c r="L295" s="168"/>
      <c r="M295" s="168"/>
      <c r="P295" s="168"/>
      <c r="Q295" s="168"/>
    </row>
    <row r="296">
      <c r="A296" s="168"/>
      <c r="B296" s="168"/>
      <c r="C296" s="168"/>
      <c r="D296" s="168"/>
      <c r="E296" s="168"/>
      <c r="F296" s="168"/>
      <c r="G296" s="168"/>
      <c r="H296" s="168"/>
      <c r="I296" s="168"/>
      <c r="J296" s="168"/>
      <c r="K296" s="168"/>
      <c r="L296" s="168"/>
      <c r="M296" s="168"/>
      <c r="P296" s="168"/>
      <c r="Q296" s="168"/>
    </row>
    <row r="297">
      <c r="A297" s="168"/>
      <c r="B297" s="168"/>
      <c r="C297" s="168"/>
      <c r="D297" s="168"/>
      <c r="E297" s="168"/>
      <c r="F297" s="168"/>
      <c r="G297" s="168"/>
      <c r="H297" s="168"/>
      <c r="I297" s="168"/>
      <c r="J297" s="168"/>
      <c r="K297" s="168"/>
      <c r="L297" s="168"/>
      <c r="M297" s="168"/>
      <c r="P297" s="168"/>
      <c r="Q297" s="168"/>
    </row>
    <row r="298">
      <c r="A298" s="168"/>
      <c r="B298" s="168"/>
      <c r="C298" s="168"/>
      <c r="D298" s="168"/>
      <c r="E298" s="168"/>
      <c r="F298" s="168"/>
      <c r="G298" s="168"/>
      <c r="H298" s="168"/>
      <c r="I298" s="168"/>
      <c r="J298" s="168"/>
      <c r="K298" s="168"/>
      <c r="L298" s="168"/>
      <c r="M298" s="168"/>
      <c r="P298" s="168"/>
      <c r="Q298" s="168"/>
    </row>
    <row r="299">
      <c r="A299" s="168"/>
      <c r="B299" s="168"/>
      <c r="C299" s="168"/>
      <c r="D299" s="168"/>
      <c r="E299" s="168"/>
      <c r="F299" s="168"/>
      <c r="G299" s="168"/>
      <c r="H299" s="168"/>
      <c r="I299" s="168"/>
      <c r="J299" s="168"/>
      <c r="K299" s="168"/>
      <c r="L299" s="168"/>
      <c r="M299" s="168"/>
      <c r="P299" s="168"/>
      <c r="Q299" s="168"/>
    </row>
    <row r="300">
      <c r="A300" s="168"/>
      <c r="B300" s="168"/>
      <c r="C300" s="168"/>
      <c r="D300" s="168"/>
      <c r="E300" s="168"/>
      <c r="F300" s="168"/>
      <c r="G300" s="168"/>
      <c r="H300" s="168"/>
      <c r="I300" s="168"/>
      <c r="J300" s="168"/>
      <c r="K300" s="168"/>
      <c r="L300" s="168"/>
      <c r="M300" s="168"/>
      <c r="P300" s="168"/>
      <c r="Q300" s="168"/>
    </row>
    <row r="301">
      <c r="A301" s="168"/>
      <c r="B301" s="168"/>
      <c r="C301" s="168"/>
      <c r="D301" s="168"/>
      <c r="E301" s="168"/>
      <c r="F301" s="168"/>
      <c r="G301" s="168"/>
      <c r="H301" s="168"/>
      <c r="I301" s="168"/>
      <c r="J301" s="168"/>
      <c r="K301" s="168"/>
      <c r="L301" s="168"/>
      <c r="M301" s="168"/>
      <c r="P301" s="168"/>
      <c r="Q301" s="168"/>
    </row>
    <row r="302">
      <c r="A302" s="168"/>
      <c r="B302" s="168"/>
      <c r="C302" s="168"/>
      <c r="D302" s="168"/>
      <c r="E302" s="168"/>
      <c r="F302" s="168"/>
      <c r="G302" s="168"/>
      <c r="H302" s="168"/>
      <c r="I302" s="168"/>
      <c r="J302" s="168"/>
      <c r="K302" s="168"/>
      <c r="L302" s="168"/>
      <c r="M302" s="168"/>
      <c r="P302" s="168"/>
      <c r="Q302" s="168"/>
    </row>
    <row r="303">
      <c r="A303" s="168"/>
      <c r="B303" s="168"/>
      <c r="C303" s="168"/>
      <c r="D303" s="168"/>
      <c r="E303" s="168"/>
      <c r="F303" s="168"/>
      <c r="G303" s="168"/>
      <c r="H303" s="168"/>
      <c r="I303" s="168"/>
      <c r="J303" s="168"/>
      <c r="K303" s="168"/>
      <c r="L303" s="168"/>
      <c r="M303" s="168"/>
      <c r="P303" s="168"/>
      <c r="Q303" s="168"/>
    </row>
    <row r="304">
      <c r="A304" s="168"/>
      <c r="B304" s="168"/>
      <c r="C304" s="168"/>
      <c r="D304" s="168"/>
      <c r="E304" s="168"/>
      <c r="F304" s="168"/>
      <c r="G304" s="168"/>
      <c r="H304" s="168"/>
      <c r="I304" s="168"/>
      <c r="J304" s="168"/>
      <c r="K304" s="168"/>
      <c r="L304" s="168"/>
      <c r="M304" s="168"/>
      <c r="P304" s="168"/>
      <c r="Q304" s="168"/>
    </row>
    <row r="305">
      <c r="A305" s="168"/>
      <c r="B305" s="168"/>
      <c r="C305" s="168"/>
      <c r="D305" s="168"/>
      <c r="E305" s="168"/>
      <c r="F305" s="168"/>
      <c r="G305" s="168"/>
      <c r="H305" s="168"/>
      <c r="I305" s="168"/>
      <c r="J305" s="168"/>
      <c r="K305" s="168"/>
      <c r="L305" s="168"/>
      <c r="M305" s="168"/>
      <c r="P305" s="168"/>
      <c r="Q305" s="168"/>
    </row>
    <row r="306">
      <c r="A306" s="168"/>
      <c r="B306" s="168"/>
      <c r="C306" s="168"/>
      <c r="D306" s="168"/>
      <c r="E306" s="168"/>
      <c r="F306" s="168"/>
      <c r="G306" s="168"/>
      <c r="H306" s="168"/>
      <c r="I306" s="168"/>
      <c r="J306" s="168"/>
      <c r="K306" s="168"/>
      <c r="L306" s="168"/>
      <c r="M306" s="168"/>
      <c r="P306" s="168"/>
      <c r="Q306" s="168"/>
    </row>
    <row r="307">
      <c r="A307" s="168"/>
      <c r="B307" s="168"/>
      <c r="C307" s="168"/>
      <c r="D307" s="168"/>
      <c r="E307" s="168"/>
      <c r="F307" s="168"/>
      <c r="G307" s="168"/>
      <c r="H307" s="168"/>
      <c r="I307" s="168"/>
      <c r="J307" s="168"/>
      <c r="K307" s="168"/>
      <c r="L307" s="168"/>
      <c r="M307" s="168"/>
      <c r="P307" s="168"/>
      <c r="Q307" s="168"/>
    </row>
    <row r="308">
      <c r="A308" s="168"/>
      <c r="B308" s="168"/>
      <c r="C308" s="168"/>
      <c r="D308" s="168"/>
      <c r="E308" s="168"/>
      <c r="F308" s="168"/>
      <c r="G308" s="168"/>
      <c r="H308" s="168"/>
      <c r="I308" s="168"/>
      <c r="J308" s="168"/>
      <c r="K308" s="168"/>
      <c r="L308" s="168"/>
      <c r="M308" s="168"/>
      <c r="P308" s="168"/>
      <c r="Q308" s="168"/>
    </row>
    <row r="309">
      <c r="A309" s="168"/>
      <c r="B309" s="168"/>
      <c r="C309" s="168"/>
      <c r="D309" s="168"/>
      <c r="E309" s="168"/>
      <c r="F309" s="168"/>
      <c r="G309" s="168"/>
      <c r="H309" s="168"/>
      <c r="I309" s="168"/>
      <c r="J309" s="168"/>
      <c r="K309" s="168"/>
      <c r="L309" s="168"/>
      <c r="M309" s="168"/>
      <c r="P309" s="168"/>
      <c r="Q309" s="168"/>
    </row>
    <row r="310">
      <c r="A310" s="168"/>
      <c r="B310" s="168"/>
      <c r="C310" s="168"/>
      <c r="D310" s="168"/>
      <c r="E310" s="168"/>
      <c r="F310" s="168"/>
      <c r="G310" s="168"/>
      <c r="H310" s="168"/>
      <c r="I310" s="168"/>
      <c r="J310" s="168"/>
      <c r="K310" s="168"/>
      <c r="L310" s="168"/>
      <c r="M310" s="168"/>
      <c r="P310" s="168"/>
      <c r="Q310" s="168"/>
    </row>
    <row r="311">
      <c r="A311" s="168"/>
      <c r="B311" s="168"/>
      <c r="C311" s="168"/>
      <c r="D311" s="168"/>
      <c r="E311" s="168"/>
      <c r="F311" s="168"/>
      <c r="G311" s="168"/>
      <c r="H311" s="168"/>
      <c r="I311" s="168"/>
      <c r="J311" s="168"/>
      <c r="K311" s="168"/>
      <c r="L311" s="168"/>
      <c r="M311" s="168"/>
      <c r="P311" s="168"/>
      <c r="Q311" s="168"/>
    </row>
    <row r="312">
      <c r="A312" s="168"/>
      <c r="B312" s="168"/>
      <c r="C312" s="168"/>
      <c r="D312" s="168"/>
      <c r="E312" s="168"/>
      <c r="F312" s="168"/>
      <c r="G312" s="168"/>
      <c r="H312" s="168"/>
      <c r="I312" s="168"/>
      <c r="J312" s="168"/>
      <c r="K312" s="168"/>
      <c r="L312" s="168"/>
      <c r="M312" s="168"/>
      <c r="P312" s="168"/>
      <c r="Q312" s="168"/>
    </row>
    <row r="313">
      <c r="A313" s="168"/>
      <c r="B313" s="168"/>
      <c r="C313" s="168"/>
      <c r="D313" s="168"/>
      <c r="E313" s="168"/>
      <c r="F313" s="168"/>
      <c r="G313" s="168"/>
      <c r="H313" s="168"/>
      <c r="I313" s="168"/>
      <c r="J313" s="168"/>
      <c r="K313" s="168"/>
      <c r="L313" s="168"/>
      <c r="M313" s="168"/>
      <c r="P313" s="168"/>
      <c r="Q313" s="168"/>
    </row>
    <row r="314">
      <c r="A314" s="168"/>
      <c r="B314" s="168"/>
      <c r="C314" s="168"/>
      <c r="D314" s="168"/>
      <c r="E314" s="168"/>
      <c r="F314" s="168"/>
      <c r="G314" s="168"/>
      <c r="H314" s="168"/>
      <c r="I314" s="168"/>
      <c r="J314" s="168"/>
      <c r="K314" s="168"/>
      <c r="L314" s="168"/>
      <c r="M314" s="168"/>
      <c r="P314" s="168"/>
      <c r="Q314" s="168"/>
    </row>
    <row r="315">
      <c r="A315" s="168"/>
      <c r="B315" s="168"/>
      <c r="C315" s="168"/>
      <c r="D315" s="168"/>
      <c r="E315" s="168"/>
      <c r="F315" s="168"/>
      <c r="G315" s="168"/>
      <c r="H315" s="168"/>
      <c r="I315" s="168"/>
      <c r="J315" s="168"/>
      <c r="K315" s="168"/>
      <c r="L315" s="168"/>
      <c r="M315" s="168"/>
      <c r="P315" s="168"/>
      <c r="Q315" s="168"/>
    </row>
    <row r="316">
      <c r="A316" s="168"/>
      <c r="B316" s="168"/>
      <c r="C316" s="168"/>
      <c r="D316" s="168"/>
      <c r="E316" s="168"/>
      <c r="F316" s="168"/>
      <c r="G316" s="168"/>
      <c r="H316" s="168"/>
      <c r="I316" s="168"/>
      <c r="J316" s="168"/>
      <c r="K316" s="168"/>
      <c r="L316" s="168"/>
      <c r="M316" s="168"/>
      <c r="P316" s="168"/>
      <c r="Q316" s="168"/>
    </row>
    <row r="317">
      <c r="A317" s="168"/>
      <c r="B317" s="168"/>
      <c r="C317" s="168"/>
      <c r="D317" s="168"/>
      <c r="E317" s="168"/>
      <c r="F317" s="168"/>
      <c r="G317" s="168"/>
      <c r="H317" s="168"/>
      <c r="I317" s="168"/>
      <c r="J317" s="168"/>
      <c r="K317" s="168"/>
      <c r="L317" s="168"/>
      <c r="M317" s="168"/>
      <c r="P317" s="168"/>
      <c r="Q317" s="168"/>
    </row>
    <row r="318">
      <c r="A318" s="168"/>
      <c r="B318" s="168"/>
      <c r="C318" s="168"/>
      <c r="D318" s="168"/>
      <c r="E318" s="168"/>
      <c r="F318" s="168"/>
      <c r="G318" s="168"/>
      <c r="H318" s="168"/>
      <c r="I318" s="168"/>
      <c r="J318" s="168"/>
      <c r="K318" s="168"/>
      <c r="L318" s="168"/>
      <c r="M318" s="168"/>
      <c r="P318" s="168"/>
      <c r="Q318" s="168"/>
    </row>
    <row r="319">
      <c r="A319" s="168"/>
      <c r="B319" s="168"/>
      <c r="C319" s="168"/>
      <c r="D319" s="168"/>
      <c r="E319" s="168"/>
      <c r="F319" s="168"/>
      <c r="G319" s="168"/>
      <c r="H319" s="168"/>
      <c r="I319" s="168"/>
      <c r="J319" s="168"/>
      <c r="K319" s="168"/>
      <c r="L319" s="168"/>
      <c r="M319" s="168"/>
      <c r="P319" s="168"/>
      <c r="Q319" s="168"/>
    </row>
    <row r="320">
      <c r="A320" s="168"/>
      <c r="B320" s="168"/>
      <c r="C320" s="168"/>
      <c r="D320" s="168"/>
      <c r="E320" s="168"/>
      <c r="F320" s="168"/>
      <c r="G320" s="168"/>
      <c r="H320" s="168"/>
      <c r="I320" s="168"/>
      <c r="J320" s="168"/>
      <c r="K320" s="168"/>
      <c r="L320" s="168"/>
      <c r="M320" s="168"/>
      <c r="P320" s="168"/>
      <c r="Q320" s="168"/>
    </row>
    <row r="321">
      <c r="A321" s="168"/>
      <c r="B321" s="168"/>
      <c r="C321" s="168"/>
      <c r="D321" s="168"/>
      <c r="E321" s="168"/>
      <c r="F321" s="168"/>
      <c r="G321" s="168"/>
      <c r="H321" s="168"/>
      <c r="I321" s="168"/>
      <c r="J321" s="168"/>
      <c r="K321" s="168"/>
      <c r="L321" s="168"/>
      <c r="M321" s="168"/>
      <c r="P321" s="168"/>
      <c r="Q321" s="168"/>
    </row>
    <row r="322">
      <c r="A322" s="168"/>
      <c r="B322" s="168"/>
      <c r="C322" s="168"/>
      <c r="D322" s="168"/>
      <c r="E322" s="168"/>
      <c r="F322" s="168"/>
      <c r="G322" s="168"/>
      <c r="H322" s="168"/>
      <c r="I322" s="168"/>
      <c r="J322" s="168"/>
      <c r="K322" s="168"/>
      <c r="L322" s="168"/>
      <c r="M322" s="168"/>
      <c r="P322" s="168"/>
      <c r="Q322" s="168"/>
    </row>
    <row r="323">
      <c r="A323" s="168"/>
      <c r="B323" s="168"/>
      <c r="C323" s="168"/>
      <c r="D323" s="168"/>
      <c r="E323" s="168"/>
      <c r="F323" s="168"/>
      <c r="G323" s="168"/>
      <c r="H323" s="168"/>
      <c r="I323" s="168"/>
      <c r="J323" s="168"/>
      <c r="K323" s="168"/>
      <c r="L323" s="168"/>
      <c r="M323" s="168"/>
      <c r="P323" s="168"/>
      <c r="Q323" s="168"/>
    </row>
    <row r="324">
      <c r="A324" s="168"/>
      <c r="B324" s="168"/>
      <c r="C324" s="168"/>
      <c r="D324" s="168"/>
      <c r="E324" s="168"/>
      <c r="F324" s="168"/>
      <c r="G324" s="168"/>
      <c r="H324" s="168"/>
      <c r="I324" s="168"/>
      <c r="J324" s="168"/>
      <c r="K324" s="168"/>
      <c r="L324" s="168"/>
      <c r="M324" s="168"/>
      <c r="P324" s="168"/>
      <c r="Q324" s="168"/>
    </row>
    <row r="325">
      <c r="A325" s="168"/>
      <c r="B325" s="168"/>
      <c r="C325" s="168"/>
      <c r="D325" s="168"/>
      <c r="E325" s="168"/>
      <c r="F325" s="168"/>
      <c r="G325" s="168"/>
      <c r="H325" s="168"/>
      <c r="I325" s="168"/>
      <c r="J325" s="168"/>
      <c r="K325" s="168"/>
      <c r="L325" s="168"/>
      <c r="M325" s="168"/>
      <c r="P325" s="168"/>
      <c r="Q325" s="168"/>
    </row>
    <row r="326">
      <c r="A326" s="168"/>
      <c r="B326" s="168"/>
      <c r="C326" s="168"/>
      <c r="D326" s="168"/>
      <c r="E326" s="168"/>
      <c r="F326" s="168"/>
      <c r="G326" s="168"/>
      <c r="H326" s="168"/>
      <c r="I326" s="168"/>
      <c r="J326" s="168"/>
      <c r="K326" s="168"/>
      <c r="L326" s="168"/>
      <c r="M326" s="168"/>
      <c r="P326" s="168"/>
      <c r="Q326" s="168"/>
    </row>
    <row r="327">
      <c r="A327" s="168"/>
      <c r="B327" s="168"/>
      <c r="C327" s="168"/>
      <c r="D327" s="168"/>
      <c r="E327" s="168"/>
      <c r="F327" s="168"/>
      <c r="G327" s="168"/>
      <c r="H327" s="168"/>
      <c r="I327" s="168"/>
      <c r="J327" s="168"/>
      <c r="K327" s="168"/>
      <c r="L327" s="168"/>
      <c r="M327" s="168"/>
      <c r="P327" s="168"/>
      <c r="Q327" s="168"/>
    </row>
    <row r="328">
      <c r="A328" s="168"/>
      <c r="B328" s="168"/>
      <c r="C328" s="168"/>
      <c r="D328" s="168"/>
      <c r="E328" s="168"/>
      <c r="F328" s="168"/>
      <c r="G328" s="168"/>
      <c r="H328" s="168"/>
      <c r="I328" s="168"/>
      <c r="J328" s="168"/>
      <c r="K328" s="168"/>
      <c r="L328" s="168"/>
      <c r="M328" s="168"/>
      <c r="P328" s="168"/>
      <c r="Q328" s="168"/>
    </row>
    <row r="329">
      <c r="A329" s="168"/>
      <c r="B329" s="168"/>
      <c r="C329" s="168"/>
      <c r="D329" s="168"/>
      <c r="E329" s="168"/>
      <c r="F329" s="168"/>
      <c r="G329" s="168"/>
      <c r="H329" s="168"/>
      <c r="I329" s="168"/>
      <c r="J329" s="168"/>
      <c r="K329" s="168"/>
      <c r="L329" s="168"/>
      <c r="M329" s="168"/>
      <c r="P329" s="168"/>
      <c r="Q329" s="168"/>
    </row>
    <row r="330">
      <c r="A330" s="168"/>
      <c r="B330" s="168"/>
      <c r="C330" s="168"/>
      <c r="D330" s="168"/>
      <c r="E330" s="168"/>
      <c r="F330" s="168"/>
      <c r="G330" s="168"/>
      <c r="H330" s="168"/>
      <c r="I330" s="168"/>
      <c r="J330" s="168"/>
      <c r="K330" s="168"/>
      <c r="L330" s="168"/>
      <c r="M330" s="168"/>
      <c r="P330" s="168"/>
      <c r="Q330" s="168"/>
    </row>
    <row r="331">
      <c r="A331" s="168"/>
      <c r="B331" s="168"/>
      <c r="C331" s="168"/>
      <c r="D331" s="168"/>
      <c r="E331" s="168"/>
      <c r="F331" s="168"/>
      <c r="G331" s="168"/>
      <c r="H331" s="168"/>
      <c r="I331" s="168"/>
      <c r="J331" s="168"/>
      <c r="K331" s="168"/>
      <c r="L331" s="168"/>
      <c r="M331" s="168"/>
      <c r="P331" s="168"/>
      <c r="Q331" s="168"/>
    </row>
    <row r="332">
      <c r="A332" s="168"/>
      <c r="B332" s="168"/>
      <c r="C332" s="168"/>
      <c r="D332" s="168"/>
      <c r="E332" s="168"/>
      <c r="F332" s="168"/>
      <c r="G332" s="168"/>
      <c r="H332" s="168"/>
      <c r="I332" s="168"/>
      <c r="J332" s="168"/>
      <c r="K332" s="168"/>
      <c r="L332" s="168"/>
      <c r="M332" s="168"/>
      <c r="P332" s="168"/>
      <c r="Q332" s="168"/>
    </row>
    <row r="333">
      <c r="A333" s="168"/>
      <c r="B333" s="168"/>
      <c r="C333" s="168"/>
      <c r="D333" s="168"/>
      <c r="E333" s="168"/>
      <c r="F333" s="168"/>
      <c r="G333" s="168"/>
      <c r="H333" s="168"/>
      <c r="I333" s="168"/>
      <c r="J333" s="168"/>
      <c r="K333" s="168"/>
      <c r="L333" s="168"/>
      <c r="M333" s="168"/>
      <c r="P333" s="168"/>
      <c r="Q333" s="168"/>
    </row>
    <row r="334">
      <c r="A334" s="168"/>
      <c r="B334" s="168"/>
      <c r="C334" s="168"/>
      <c r="D334" s="168"/>
      <c r="E334" s="168"/>
      <c r="F334" s="168"/>
      <c r="G334" s="168"/>
      <c r="H334" s="168"/>
      <c r="I334" s="168"/>
      <c r="J334" s="168"/>
      <c r="K334" s="168"/>
      <c r="L334" s="168"/>
      <c r="M334" s="168"/>
      <c r="P334" s="168"/>
      <c r="Q334" s="168"/>
    </row>
    <row r="335">
      <c r="A335" s="168"/>
      <c r="B335" s="168"/>
      <c r="C335" s="168"/>
      <c r="D335" s="168"/>
      <c r="E335" s="168"/>
      <c r="F335" s="168"/>
      <c r="G335" s="168"/>
      <c r="H335" s="168"/>
      <c r="I335" s="168"/>
      <c r="J335" s="168"/>
      <c r="K335" s="168"/>
      <c r="L335" s="168"/>
      <c r="M335" s="168"/>
      <c r="P335" s="168"/>
      <c r="Q335" s="168"/>
    </row>
    <row r="336">
      <c r="A336" s="168"/>
      <c r="B336" s="168"/>
      <c r="C336" s="168"/>
      <c r="D336" s="168"/>
      <c r="E336" s="168"/>
      <c r="F336" s="168"/>
      <c r="G336" s="168"/>
      <c r="H336" s="168"/>
      <c r="I336" s="168"/>
      <c r="J336" s="168"/>
      <c r="K336" s="168"/>
      <c r="L336" s="168"/>
      <c r="M336" s="168"/>
      <c r="P336" s="168"/>
      <c r="Q336" s="168"/>
    </row>
    <row r="337">
      <c r="A337" s="168"/>
      <c r="B337" s="168"/>
      <c r="C337" s="168"/>
      <c r="D337" s="168"/>
      <c r="E337" s="168"/>
      <c r="F337" s="168"/>
      <c r="G337" s="168"/>
      <c r="H337" s="168"/>
      <c r="I337" s="168"/>
      <c r="J337" s="168"/>
      <c r="K337" s="168"/>
      <c r="L337" s="168"/>
      <c r="M337" s="168"/>
      <c r="P337" s="168"/>
      <c r="Q337" s="168"/>
    </row>
    <row r="338">
      <c r="A338" s="168"/>
      <c r="B338" s="168"/>
      <c r="C338" s="168"/>
      <c r="D338" s="168"/>
      <c r="E338" s="168"/>
      <c r="F338" s="168"/>
      <c r="G338" s="168"/>
      <c r="H338" s="168"/>
      <c r="I338" s="168"/>
      <c r="J338" s="168"/>
      <c r="K338" s="168"/>
      <c r="L338" s="168"/>
      <c r="M338" s="168"/>
      <c r="P338" s="168"/>
      <c r="Q338" s="168"/>
    </row>
    <row r="339">
      <c r="A339" s="168"/>
      <c r="B339" s="168"/>
      <c r="C339" s="168"/>
      <c r="D339" s="168"/>
      <c r="E339" s="168"/>
      <c r="F339" s="168"/>
      <c r="G339" s="168"/>
      <c r="H339" s="168"/>
      <c r="I339" s="168"/>
      <c r="J339" s="168"/>
      <c r="K339" s="168"/>
      <c r="L339" s="168"/>
      <c r="M339" s="168"/>
      <c r="P339" s="168"/>
      <c r="Q339" s="168"/>
    </row>
    <row r="340">
      <c r="A340" s="168"/>
      <c r="B340" s="168"/>
      <c r="C340" s="168"/>
      <c r="D340" s="168"/>
      <c r="E340" s="168"/>
      <c r="F340" s="168"/>
      <c r="G340" s="168"/>
      <c r="H340" s="168"/>
      <c r="I340" s="168"/>
      <c r="J340" s="168"/>
      <c r="K340" s="168"/>
      <c r="L340" s="168"/>
      <c r="M340" s="168"/>
      <c r="P340" s="168"/>
      <c r="Q340" s="168"/>
    </row>
    <row r="341">
      <c r="A341" s="168"/>
      <c r="B341" s="168"/>
      <c r="C341" s="168"/>
      <c r="D341" s="168"/>
      <c r="E341" s="168"/>
      <c r="F341" s="168"/>
      <c r="G341" s="168"/>
      <c r="H341" s="168"/>
      <c r="I341" s="168"/>
      <c r="J341" s="168"/>
      <c r="K341" s="168"/>
      <c r="L341" s="168"/>
      <c r="M341" s="168"/>
      <c r="P341" s="168"/>
      <c r="Q341" s="168"/>
    </row>
    <row r="342">
      <c r="A342" s="168"/>
      <c r="B342" s="168"/>
      <c r="C342" s="168"/>
      <c r="D342" s="168"/>
      <c r="E342" s="168"/>
      <c r="F342" s="168"/>
      <c r="G342" s="168"/>
      <c r="H342" s="168"/>
      <c r="I342" s="168"/>
      <c r="J342" s="168"/>
      <c r="K342" s="168"/>
      <c r="L342" s="168"/>
      <c r="M342" s="168"/>
      <c r="P342" s="168"/>
      <c r="Q342" s="168"/>
    </row>
    <row r="343">
      <c r="A343" s="168"/>
      <c r="B343" s="168"/>
      <c r="C343" s="168"/>
      <c r="D343" s="168"/>
      <c r="E343" s="168"/>
      <c r="F343" s="168"/>
      <c r="G343" s="168"/>
      <c r="H343" s="168"/>
      <c r="I343" s="168"/>
      <c r="J343" s="168"/>
      <c r="K343" s="168"/>
      <c r="L343" s="168"/>
      <c r="M343" s="168"/>
      <c r="P343" s="168"/>
      <c r="Q343" s="168"/>
    </row>
    <row r="344">
      <c r="A344" s="168"/>
      <c r="B344" s="168"/>
      <c r="C344" s="168"/>
      <c r="D344" s="168"/>
      <c r="E344" s="168"/>
      <c r="F344" s="168"/>
      <c r="G344" s="168"/>
      <c r="H344" s="168"/>
      <c r="I344" s="168"/>
      <c r="J344" s="168"/>
      <c r="K344" s="168"/>
      <c r="L344" s="168"/>
      <c r="M344" s="168"/>
      <c r="P344" s="168"/>
      <c r="Q344" s="168"/>
    </row>
    <row r="345">
      <c r="A345" s="168"/>
      <c r="B345" s="168"/>
      <c r="C345" s="168"/>
      <c r="D345" s="168"/>
      <c r="E345" s="168"/>
      <c r="F345" s="168"/>
      <c r="G345" s="168"/>
      <c r="H345" s="168"/>
      <c r="I345" s="168"/>
      <c r="J345" s="168"/>
      <c r="K345" s="168"/>
      <c r="L345" s="168"/>
      <c r="M345" s="168"/>
      <c r="P345" s="168"/>
      <c r="Q345" s="168"/>
    </row>
    <row r="346">
      <c r="A346" s="168"/>
      <c r="B346" s="168"/>
      <c r="C346" s="168"/>
      <c r="D346" s="168"/>
      <c r="E346" s="168"/>
      <c r="F346" s="168"/>
      <c r="G346" s="168"/>
      <c r="H346" s="168"/>
      <c r="I346" s="168"/>
      <c r="J346" s="168"/>
      <c r="K346" s="168"/>
      <c r="L346" s="168"/>
      <c r="M346" s="168"/>
      <c r="P346" s="168"/>
      <c r="Q346" s="168"/>
    </row>
    <row r="347">
      <c r="A347" s="168"/>
      <c r="B347" s="168"/>
      <c r="C347" s="168"/>
      <c r="D347" s="168"/>
      <c r="E347" s="168"/>
      <c r="F347" s="168"/>
      <c r="G347" s="168"/>
      <c r="H347" s="168"/>
      <c r="I347" s="168"/>
      <c r="J347" s="168"/>
      <c r="K347" s="168"/>
      <c r="L347" s="168"/>
      <c r="M347" s="168"/>
      <c r="P347" s="168"/>
      <c r="Q347" s="168"/>
    </row>
    <row r="348">
      <c r="A348" s="168"/>
      <c r="B348" s="168"/>
      <c r="C348" s="168"/>
      <c r="D348" s="168"/>
      <c r="E348" s="168"/>
      <c r="F348" s="168"/>
      <c r="G348" s="168"/>
      <c r="H348" s="168"/>
      <c r="I348" s="168"/>
      <c r="J348" s="168"/>
      <c r="K348" s="168"/>
      <c r="L348" s="168"/>
      <c r="M348" s="168"/>
      <c r="P348" s="168"/>
      <c r="Q348" s="168"/>
    </row>
    <row r="349">
      <c r="A349" s="168"/>
      <c r="B349" s="168"/>
      <c r="C349" s="168"/>
      <c r="D349" s="168"/>
      <c r="E349" s="168"/>
      <c r="F349" s="168"/>
      <c r="G349" s="168"/>
      <c r="H349" s="168"/>
      <c r="I349" s="168"/>
      <c r="J349" s="168"/>
      <c r="K349" s="168"/>
      <c r="L349" s="168"/>
      <c r="M349" s="168"/>
      <c r="P349" s="168"/>
      <c r="Q349" s="168"/>
    </row>
    <row r="350">
      <c r="A350" s="168"/>
      <c r="B350" s="168"/>
      <c r="C350" s="168"/>
      <c r="D350" s="168"/>
      <c r="E350" s="168"/>
      <c r="F350" s="168"/>
      <c r="G350" s="168"/>
      <c r="H350" s="168"/>
      <c r="I350" s="168"/>
      <c r="J350" s="168"/>
      <c r="K350" s="168"/>
      <c r="L350" s="168"/>
      <c r="M350" s="168"/>
      <c r="P350" s="168"/>
      <c r="Q350" s="168"/>
    </row>
    <row r="351">
      <c r="A351" s="168"/>
      <c r="B351" s="168"/>
      <c r="C351" s="168"/>
      <c r="D351" s="168"/>
      <c r="E351" s="168"/>
      <c r="F351" s="168"/>
      <c r="G351" s="168"/>
      <c r="H351" s="168"/>
      <c r="I351" s="168"/>
      <c r="J351" s="168"/>
      <c r="K351" s="168"/>
      <c r="L351" s="168"/>
      <c r="M351" s="168"/>
      <c r="P351" s="168"/>
      <c r="Q351" s="168"/>
    </row>
    <row r="352">
      <c r="A352" s="168"/>
      <c r="B352" s="168"/>
      <c r="C352" s="168"/>
      <c r="D352" s="168"/>
      <c r="E352" s="168"/>
      <c r="F352" s="168"/>
      <c r="G352" s="168"/>
      <c r="H352" s="168"/>
      <c r="I352" s="168"/>
      <c r="J352" s="168"/>
      <c r="K352" s="168"/>
      <c r="L352" s="168"/>
      <c r="M352" s="168"/>
      <c r="P352" s="168"/>
      <c r="Q352" s="168"/>
    </row>
    <row r="353">
      <c r="A353" s="168"/>
      <c r="B353" s="168"/>
      <c r="C353" s="168"/>
      <c r="D353" s="168"/>
      <c r="E353" s="168"/>
      <c r="F353" s="168"/>
      <c r="G353" s="168"/>
      <c r="H353" s="168"/>
      <c r="I353" s="168"/>
      <c r="J353" s="168"/>
      <c r="K353" s="168"/>
      <c r="L353" s="168"/>
      <c r="M353" s="168"/>
      <c r="P353" s="168"/>
      <c r="Q353" s="168"/>
    </row>
    <row r="354">
      <c r="A354" s="168"/>
      <c r="B354" s="168"/>
      <c r="C354" s="168"/>
      <c r="D354" s="168"/>
      <c r="E354" s="168"/>
      <c r="F354" s="168"/>
      <c r="G354" s="168"/>
      <c r="H354" s="168"/>
      <c r="I354" s="168"/>
      <c r="J354" s="168"/>
      <c r="K354" s="168"/>
      <c r="L354" s="168"/>
      <c r="M354" s="168"/>
      <c r="P354" s="168"/>
      <c r="Q354" s="168"/>
    </row>
    <row r="355">
      <c r="A355" s="168"/>
      <c r="B355" s="168"/>
      <c r="C355" s="168"/>
      <c r="D355" s="168"/>
      <c r="E355" s="168"/>
      <c r="F355" s="168"/>
      <c r="G355" s="168"/>
      <c r="H355" s="168"/>
      <c r="I355" s="168"/>
      <c r="J355" s="168"/>
      <c r="K355" s="168"/>
      <c r="L355" s="168"/>
      <c r="M355" s="168"/>
      <c r="P355" s="168"/>
      <c r="Q355" s="168"/>
    </row>
    <row r="356">
      <c r="A356" s="168"/>
      <c r="B356" s="168"/>
      <c r="C356" s="168"/>
      <c r="D356" s="168"/>
      <c r="E356" s="168"/>
      <c r="F356" s="168"/>
      <c r="G356" s="168"/>
      <c r="H356" s="168"/>
      <c r="I356" s="168"/>
      <c r="J356" s="168"/>
      <c r="K356" s="168"/>
      <c r="L356" s="168"/>
      <c r="M356" s="168"/>
      <c r="P356" s="168"/>
      <c r="Q356" s="168"/>
    </row>
    <row r="357">
      <c r="A357" s="168"/>
      <c r="B357" s="168"/>
      <c r="C357" s="168"/>
      <c r="D357" s="168"/>
      <c r="E357" s="168"/>
      <c r="F357" s="168"/>
      <c r="G357" s="168"/>
      <c r="H357" s="168"/>
      <c r="I357" s="168"/>
      <c r="J357" s="168"/>
      <c r="K357" s="168"/>
      <c r="L357" s="168"/>
      <c r="M357" s="168"/>
      <c r="P357" s="168"/>
      <c r="Q357" s="168"/>
    </row>
    <row r="358">
      <c r="A358" s="168"/>
      <c r="B358" s="168"/>
      <c r="C358" s="168"/>
      <c r="D358" s="168"/>
      <c r="E358" s="168"/>
      <c r="F358" s="168"/>
      <c r="G358" s="168"/>
      <c r="H358" s="168"/>
      <c r="I358" s="168"/>
      <c r="J358" s="168"/>
      <c r="K358" s="168"/>
      <c r="L358" s="168"/>
      <c r="M358" s="168"/>
      <c r="P358" s="168"/>
      <c r="Q358" s="168"/>
    </row>
    <row r="359">
      <c r="A359" s="168"/>
      <c r="B359" s="168"/>
      <c r="C359" s="168"/>
      <c r="D359" s="168"/>
      <c r="E359" s="168"/>
      <c r="F359" s="168"/>
      <c r="G359" s="168"/>
      <c r="H359" s="168"/>
      <c r="I359" s="168"/>
      <c r="J359" s="168"/>
      <c r="K359" s="168"/>
      <c r="L359" s="168"/>
      <c r="M359" s="168"/>
      <c r="P359" s="168"/>
      <c r="Q359" s="168"/>
    </row>
    <row r="360">
      <c r="A360" s="168"/>
      <c r="B360" s="168"/>
      <c r="C360" s="168"/>
      <c r="D360" s="168"/>
      <c r="E360" s="168"/>
      <c r="F360" s="168"/>
      <c r="G360" s="168"/>
      <c r="H360" s="168"/>
      <c r="I360" s="168"/>
      <c r="J360" s="168"/>
      <c r="K360" s="168"/>
      <c r="L360" s="168"/>
      <c r="M360" s="168"/>
      <c r="P360" s="168"/>
      <c r="Q360" s="168"/>
    </row>
    <row r="361">
      <c r="A361" s="168"/>
      <c r="B361" s="168"/>
      <c r="C361" s="168"/>
      <c r="D361" s="168"/>
      <c r="E361" s="168"/>
      <c r="F361" s="168"/>
      <c r="G361" s="168"/>
      <c r="H361" s="168"/>
      <c r="I361" s="168"/>
      <c r="J361" s="168"/>
      <c r="K361" s="168"/>
      <c r="L361" s="168"/>
      <c r="M361" s="168"/>
      <c r="P361" s="168"/>
      <c r="Q361" s="168"/>
    </row>
    <row r="362">
      <c r="A362" s="168"/>
      <c r="B362" s="168"/>
      <c r="C362" s="168"/>
      <c r="D362" s="168"/>
      <c r="E362" s="168"/>
      <c r="F362" s="168"/>
      <c r="G362" s="168"/>
      <c r="H362" s="168"/>
      <c r="I362" s="168"/>
      <c r="J362" s="168"/>
      <c r="K362" s="168"/>
      <c r="L362" s="168"/>
      <c r="M362" s="168"/>
      <c r="P362" s="168"/>
      <c r="Q362" s="168"/>
    </row>
    <row r="363">
      <c r="A363" s="168"/>
      <c r="B363" s="168"/>
      <c r="C363" s="168"/>
      <c r="D363" s="168"/>
      <c r="E363" s="168"/>
      <c r="F363" s="168"/>
      <c r="G363" s="168"/>
      <c r="H363" s="168"/>
      <c r="I363" s="168"/>
      <c r="J363" s="168"/>
      <c r="K363" s="168"/>
      <c r="L363" s="168"/>
      <c r="M363" s="168"/>
      <c r="P363" s="168"/>
      <c r="Q363" s="168"/>
    </row>
    <row r="364">
      <c r="A364" s="168"/>
      <c r="B364" s="168"/>
      <c r="C364" s="168"/>
      <c r="D364" s="168"/>
      <c r="E364" s="168"/>
      <c r="F364" s="168"/>
      <c r="G364" s="168"/>
      <c r="H364" s="168"/>
      <c r="I364" s="168"/>
      <c r="J364" s="168"/>
      <c r="K364" s="168"/>
      <c r="L364" s="168"/>
      <c r="M364" s="168"/>
      <c r="P364" s="168"/>
      <c r="Q364" s="168"/>
    </row>
    <row r="365">
      <c r="A365" s="168"/>
      <c r="B365" s="168"/>
      <c r="C365" s="168"/>
      <c r="D365" s="168"/>
      <c r="E365" s="168"/>
      <c r="F365" s="168"/>
      <c r="G365" s="168"/>
      <c r="H365" s="168"/>
      <c r="I365" s="168"/>
      <c r="J365" s="168"/>
      <c r="K365" s="168"/>
      <c r="L365" s="168"/>
      <c r="M365" s="168"/>
      <c r="P365" s="168"/>
      <c r="Q365" s="168"/>
    </row>
    <row r="366">
      <c r="A366" s="168"/>
      <c r="B366" s="168"/>
      <c r="C366" s="168"/>
      <c r="D366" s="168"/>
      <c r="E366" s="168"/>
      <c r="F366" s="168"/>
      <c r="G366" s="168"/>
      <c r="H366" s="168"/>
      <c r="I366" s="168"/>
      <c r="J366" s="168"/>
      <c r="K366" s="168"/>
      <c r="L366" s="168"/>
      <c r="M366" s="168"/>
      <c r="P366" s="168"/>
      <c r="Q366" s="168"/>
    </row>
    <row r="367">
      <c r="A367" s="168"/>
      <c r="B367" s="168"/>
      <c r="C367" s="168"/>
      <c r="D367" s="168"/>
      <c r="E367" s="168"/>
      <c r="F367" s="168"/>
      <c r="G367" s="168"/>
      <c r="H367" s="168"/>
      <c r="I367" s="168"/>
      <c r="J367" s="168"/>
      <c r="K367" s="168"/>
      <c r="L367" s="168"/>
      <c r="M367" s="168"/>
      <c r="P367" s="168"/>
      <c r="Q367" s="168"/>
    </row>
    <row r="368">
      <c r="A368" s="168"/>
      <c r="B368" s="168"/>
      <c r="C368" s="168"/>
      <c r="D368" s="168"/>
      <c r="E368" s="168"/>
      <c r="F368" s="168"/>
      <c r="G368" s="168"/>
      <c r="H368" s="168"/>
      <c r="I368" s="168"/>
      <c r="J368" s="168"/>
      <c r="K368" s="168"/>
      <c r="L368" s="168"/>
      <c r="M368" s="168"/>
      <c r="P368" s="168"/>
      <c r="Q368" s="168"/>
    </row>
    <row r="369">
      <c r="A369" s="168"/>
      <c r="B369" s="168"/>
      <c r="C369" s="168"/>
      <c r="D369" s="168"/>
      <c r="E369" s="168"/>
      <c r="F369" s="168"/>
      <c r="G369" s="168"/>
      <c r="H369" s="168"/>
      <c r="I369" s="168"/>
      <c r="J369" s="168"/>
      <c r="K369" s="168"/>
      <c r="L369" s="168"/>
      <c r="M369" s="168"/>
      <c r="P369" s="168"/>
      <c r="Q369" s="168"/>
    </row>
    <row r="370">
      <c r="A370" s="168"/>
      <c r="B370" s="168"/>
      <c r="C370" s="168"/>
      <c r="D370" s="168"/>
      <c r="E370" s="168"/>
      <c r="F370" s="168"/>
      <c r="G370" s="168"/>
      <c r="H370" s="168"/>
      <c r="I370" s="168"/>
      <c r="J370" s="168"/>
      <c r="K370" s="168"/>
      <c r="L370" s="168"/>
      <c r="M370" s="168"/>
      <c r="P370" s="168"/>
      <c r="Q370" s="168"/>
    </row>
    <row r="371">
      <c r="A371" s="168"/>
      <c r="B371" s="168"/>
      <c r="C371" s="168"/>
      <c r="D371" s="168"/>
      <c r="E371" s="168"/>
      <c r="F371" s="168"/>
      <c r="G371" s="168"/>
      <c r="H371" s="168"/>
      <c r="I371" s="168"/>
      <c r="J371" s="168"/>
      <c r="K371" s="168"/>
      <c r="L371" s="168"/>
      <c r="M371" s="168"/>
      <c r="P371" s="168"/>
      <c r="Q371" s="168"/>
    </row>
    <row r="372">
      <c r="A372" s="168"/>
      <c r="B372" s="168"/>
      <c r="C372" s="168"/>
      <c r="D372" s="168"/>
      <c r="E372" s="168"/>
      <c r="F372" s="168"/>
      <c r="G372" s="168"/>
      <c r="H372" s="168"/>
      <c r="I372" s="168"/>
      <c r="J372" s="168"/>
      <c r="K372" s="168"/>
      <c r="L372" s="168"/>
      <c r="M372" s="168"/>
      <c r="P372" s="168"/>
      <c r="Q372" s="168"/>
    </row>
    <row r="373">
      <c r="A373" s="168"/>
      <c r="B373" s="168"/>
      <c r="C373" s="168"/>
      <c r="D373" s="168"/>
      <c r="E373" s="168"/>
      <c r="F373" s="168"/>
      <c r="G373" s="168"/>
      <c r="H373" s="168"/>
      <c r="I373" s="168"/>
      <c r="J373" s="168"/>
      <c r="K373" s="168"/>
      <c r="L373" s="168"/>
      <c r="M373" s="168"/>
      <c r="P373" s="168"/>
      <c r="Q373" s="168"/>
    </row>
    <row r="374">
      <c r="A374" s="168"/>
      <c r="B374" s="168"/>
      <c r="C374" s="168"/>
      <c r="D374" s="168"/>
      <c r="E374" s="168"/>
      <c r="F374" s="168"/>
      <c r="G374" s="168"/>
      <c r="H374" s="168"/>
      <c r="I374" s="168"/>
      <c r="J374" s="168"/>
      <c r="K374" s="168"/>
      <c r="L374" s="168"/>
      <c r="M374" s="168"/>
      <c r="P374" s="168"/>
      <c r="Q374" s="168"/>
    </row>
    <row r="375">
      <c r="A375" s="168"/>
      <c r="B375" s="168"/>
      <c r="C375" s="168"/>
      <c r="D375" s="168"/>
      <c r="E375" s="168"/>
      <c r="F375" s="168"/>
      <c r="G375" s="168"/>
      <c r="H375" s="168"/>
      <c r="I375" s="168"/>
      <c r="J375" s="168"/>
      <c r="K375" s="168"/>
      <c r="L375" s="168"/>
      <c r="M375" s="168"/>
      <c r="P375" s="168"/>
      <c r="Q375" s="168"/>
    </row>
    <row r="376">
      <c r="A376" s="168"/>
      <c r="B376" s="168"/>
      <c r="C376" s="168"/>
      <c r="D376" s="168"/>
      <c r="E376" s="168"/>
      <c r="F376" s="168"/>
      <c r="G376" s="168"/>
      <c r="H376" s="168"/>
      <c r="I376" s="168"/>
      <c r="J376" s="168"/>
      <c r="K376" s="168"/>
      <c r="L376" s="168"/>
      <c r="M376" s="168"/>
      <c r="P376" s="168"/>
      <c r="Q376" s="168"/>
    </row>
    <row r="377">
      <c r="A377" s="168"/>
      <c r="B377" s="168"/>
      <c r="C377" s="168"/>
      <c r="D377" s="168"/>
      <c r="E377" s="168"/>
      <c r="F377" s="168"/>
      <c r="G377" s="168"/>
      <c r="H377" s="168"/>
      <c r="I377" s="168"/>
      <c r="J377" s="168"/>
      <c r="K377" s="168"/>
      <c r="L377" s="168"/>
      <c r="M377" s="168"/>
      <c r="P377" s="168"/>
      <c r="Q377" s="168"/>
    </row>
    <row r="378">
      <c r="A378" s="168"/>
      <c r="B378" s="168"/>
      <c r="C378" s="168"/>
      <c r="D378" s="168"/>
      <c r="E378" s="168"/>
      <c r="F378" s="168"/>
      <c r="G378" s="168"/>
      <c r="H378" s="168"/>
      <c r="I378" s="168"/>
      <c r="J378" s="168"/>
      <c r="K378" s="168"/>
      <c r="L378" s="168"/>
      <c r="M378" s="168"/>
      <c r="P378" s="168"/>
      <c r="Q378" s="168"/>
    </row>
    <row r="379">
      <c r="A379" s="168"/>
      <c r="B379" s="168"/>
      <c r="C379" s="168"/>
      <c r="D379" s="168"/>
      <c r="E379" s="168"/>
      <c r="F379" s="168"/>
      <c r="G379" s="168"/>
      <c r="H379" s="168"/>
      <c r="I379" s="168"/>
      <c r="J379" s="168"/>
      <c r="K379" s="168"/>
      <c r="L379" s="168"/>
      <c r="M379" s="168"/>
      <c r="P379" s="168"/>
      <c r="Q379" s="168"/>
    </row>
    <row r="380">
      <c r="A380" s="168"/>
      <c r="B380" s="168"/>
      <c r="C380" s="168"/>
      <c r="D380" s="168"/>
      <c r="E380" s="168"/>
      <c r="F380" s="168"/>
      <c r="G380" s="168"/>
      <c r="H380" s="168"/>
      <c r="I380" s="168"/>
      <c r="J380" s="168"/>
      <c r="K380" s="168"/>
      <c r="L380" s="168"/>
      <c r="M380" s="168"/>
      <c r="P380" s="168"/>
      <c r="Q380" s="168"/>
    </row>
    <row r="381">
      <c r="A381" s="168"/>
      <c r="B381" s="168"/>
      <c r="C381" s="168"/>
      <c r="D381" s="168"/>
      <c r="E381" s="168"/>
      <c r="F381" s="168"/>
      <c r="G381" s="168"/>
      <c r="H381" s="168"/>
      <c r="I381" s="168"/>
      <c r="J381" s="168"/>
      <c r="K381" s="168"/>
      <c r="L381" s="168"/>
      <c r="M381" s="168"/>
      <c r="P381" s="168"/>
      <c r="Q381" s="168"/>
    </row>
    <row r="382">
      <c r="A382" s="168"/>
      <c r="B382" s="168"/>
      <c r="C382" s="168"/>
      <c r="D382" s="168"/>
      <c r="E382" s="168"/>
      <c r="F382" s="168"/>
      <c r="G382" s="168"/>
      <c r="H382" s="168"/>
      <c r="I382" s="168"/>
      <c r="J382" s="168"/>
      <c r="K382" s="168"/>
      <c r="L382" s="168"/>
      <c r="M382" s="168"/>
      <c r="P382" s="168"/>
      <c r="Q382" s="168"/>
    </row>
    <row r="383">
      <c r="A383" s="168"/>
      <c r="B383" s="168"/>
      <c r="C383" s="168"/>
      <c r="D383" s="168"/>
      <c r="E383" s="168"/>
      <c r="F383" s="168"/>
      <c r="G383" s="168"/>
      <c r="H383" s="168"/>
      <c r="I383" s="168"/>
      <c r="J383" s="168"/>
      <c r="K383" s="168"/>
      <c r="L383" s="168"/>
      <c r="M383" s="168"/>
      <c r="P383" s="168"/>
      <c r="Q383" s="168"/>
    </row>
    <row r="384">
      <c r="A384" s="168"/>
      <c r="B384" s="168"/>
      <c r="C384" s="168"/>
      <c r="D384" s="168"/>
      <c r="E384" s="168"/>
      <c r="F384" s="168"/>
      <c r="G384" s="168"/>
      <c r="H384" s="168"/>
      <c r="I384" s="168"/>
      <c r="J384" s="168"/>
      <c r="K384" s="168"/>
      <c r="L384" s="168"/>
      <c r="M384" s="168"/>
      <c r="P384" s="168"/>
      <c r="Q384" s="168"/>
    </row>
    <row r="385">
      <c r="A385" s="168"/>
      <c r="B385" s="168"/>
      <c r="C385" s="168"/>
      <c r="D385" s="168"/>
      <c r="E385" s="168"/>
      <c r="F385" s="168"/>
      <c r="G385" s="168"/>
      <c r="H385" s="168"/>
      <c r="I385" s="168"/>
      <c r="J385" s="168"/>
      <c r="K385" s="168"/>
      <c r="L385" s="168"/>
      <c r="M385" s="168"/>
      <c r="P385" s="168"/>
      <c r="Q385" s="168"/>
    </row>
    <row r="386">
      <c r="A386" s="168"/>
      <c r="B386" s="168"/>
      <c r="C386" s="168"/>
      <c r="D386" s="168"/>
      <c r="E386" s="168"/>
      <c r="F386" s="168"/>
      <c r="G386" s="168"/>
      <c r="H386" s="168"/>
      <c r="I386" s="168"/>
      <c r="J386" s="168"/>
      <c r="K386" s="168"/>
      <c r="L386" s="168"/>
      <c r="M386" s="168"/>
      <c r="P386" s="168"/>
      <c r="Q386" s="168"/>
    </row>
    <row r="387">
      <c r="A387" s="168"/>
      <c r="B387" s="168"/>
      <c r="C387" s="168"/>
      <c r="D387" s="168"/>
      <c r="E387" s="168"/>
      <c r="F387" s="168"/>
      <c r="G387" s="168"/>
      <c r="H387" s="168"/>
      <c r="I387" s="168"/>
      <c r="J387" s="168"/>
      <c r="K387" s="168"/>
      <c r="L387" s="168"/>
      <c r="M387" s="168"/>
      <c r="P387" s="168"/>
      <c r="Q387" s="168"/>
    </row>
    <row r="388">
      <c r="A388" s="168"/>
      <c r="B388" s="168"/>
      <c r="C388" s="168"/>
      <c r="D388" s="168"/>
      <c r="E388" s="168"/>
      <c r="F388" s="168"/>
      <c r="G388" s="168"/>
      <c r="H388" s="168"/>
      <c r="I388" s="168"/>
      <c r="J388" s="168"/>
      <c r="K388" s="168"/>
      <c r="L388" s="168"/>
      <c r="M388" s="168"/>
      <c r="P388" s="168"/>
      <c r="Q388" s="168"/>
    </row>
    <row r="389">
      <c r="A389" s="168"/>
      <c r="B389" s="168"/>
      <c r="C389" s="168"/>
      <c r="D389" s="168"/>
      <c r="E389" s="168"/>
      <c r="F389" s="168"/>
      <c r="G389" s="168"/>
      <c r="H389" s="168"/>
      <c r="I389" s="168"/>
      <c r="J389" s="168"/>
      <c r="K389" s="168"/>
      <c r="L389" s="168"/>
      <c r="M389" s="168"/>
      <c r="P389" s="168"/>
      <c r="Q389" s="168"/>
    </row>
    <row r="390">
      <c r="A390" s="168"/>
      <c r="B390" s="168"/>
      <c r="C390" s="168"/>
      <c r="D390" s="168"/>
      <c r="E390" s="168"/>
      <c r="F390" s="168"/>
      <c r="G390" s="168"/>
      <c r="H390" s="168"/>
      <c r="I390" s="168"/>
      <c r="J390" s="168"/>
      <c r="K390" s="168"/>
      <c r="L390" s="168"/>
      <c r="M390" s="168"/>
      <c r="P390" s="168"/>
      <c r="Q390" s="168"/>
    </row>
    <row r="391">
      <c r="A391" s="168"/>
      <c r="B391" s="168"/>
      <c r="C391" s="168"/>
      <c r="D391" s="168"/>
      <c r="E391" s="168"/>
      <c r="F391" s="168"/>
      <c r="G391" s="168"/>
      <c r="H391" s="168"/>
      <c r="I391" s="168"/>
      <c r="J391" s="168"/>
      <c r="K391" s="168"/>
      <c r="L391" s="168"/>
      <c r="M391" s="168"/>
      <c r="P391" s="168"/>
      <c r="Q391" s="168"/>
    </row>
    <row r="392">
      <c r="A392" s="168"/>
      <c r="B392" s="168"/>
      <c r="C392" s="168"/>
      <c r="D392" s="168"/>
      <c r="E392" s="168"/>
      <c r="F392" s="168"/>
      <c r="G392" s="168"/>
      <c r="H392" s="168"/>
      <c r="I392" s="168"/>
      <c r="J392" s="168"/>
      <c r="K392" s="168"/>
      <c r="L392" s="168"/>
      <c r="M392" s="168"/>
      <c r="P392" s="168"/>
      <c r="Q392" s="168"/>
    </row>
    <row r="393">
      <c r="A393" s="168"/>
      <c r="B393" s="168"/>
      <c r="C393" s="168"/>
      <c r="D393" s="168"/>
      <c r="E393" s="168"/>
      <c r="F393" s="168"/>
      <c r="G393" s="168"/>
      <c r="H393" s="168"/>
      <c r="I393" s="168"/>
      <c r="J393" s="168"/>
      <c r="K393" s="168"/>
      <c r="L393" s="168"/>
      <c r="M393" s="168"/>
      <c r="P393" s="168"/>
      <c r="Q393" s="168"/>
    </row>
    <row r="394">
      <c r="A394" s="168"/>
      <c r="B394" s="168"/>
      <c r="C394" s="168"/>
      <c r="D394" s="168"/>
      <c r="E394" s="168"/>
      <c r="F394" s="168"/>
      <c r="G394" s="168"/>
      <c r="H394" s="168"/>
      <c r="I394" s="168"/>
      <c r="J394" s="168"/>
      <c r="K394" s="168"/>
      <c r="L394" s="168"/>
      <c r="M394" s="168"/>
      <c r="P394" s="168"/>
      <c r="Q394" s="168"/>
    </row>
    <row r="395">
      <c r="A395" s="168"/>
      <c r="B395" s="168"/>
      <c r="C395" s="168"/>
      <c r="D395" s="168"/>
      <c r="E395" s="168"/>
      <c r="F395" s="168"/>
      <c r="G395" s="168"/>
      <c r="H395" s="168"/>
      <c r="I395" s="168"/>
      <c r="J395" s="168"/>
      <c r="K395" s="168"/>
      <c r="L395" s="168"/>
      <c r="M395" s="168"/>
      <c r="P395" s="168"/>
      <c r="Q395" s="168"/>
    </row>
    <row r="396">
      <c r="A396" s="168"/>
      <c r="B396" s="168"/>
      <c r="C396" s="168"/>
      <c r="D396" s="168"/>
      <c r="E396" s="168"/>
      <c r="F396" s="168"/>
      <c r="G396" s="168"/>
      <c r="H396" s="168"/>
      <c r="I396" s="168"/>
      <c r="J396" s="168"/>
      <c r="K396" s="168"/>
      <c r="L396" s="168"/>
      <c r="M396" s="168"/>
      <c r="P396" s="168"/>
      <c r="Q396" s="168"/>
    </row>
    <row r="397">
      <c r="A397" s="168"/>
      <c r="B397" s="168"/>
      <c r="C397" s="168"/>
      <c r="D397" s="168"/>
      <c r="E397" s="168"/>
      <c r="F397" s="168"/>
      <c r="G397" s="168"/>
      <c r="H397" s="168"/>
      <c r="I397" s="168"/>
      <c r="J397" s="168"/>
      <c r="K397" s="168"/>
      <c r="L397" s="168"/>
      <c r="M397" s="168"/>
      <c r="P397" s="168"/>
      <c r="Q397" s="168"/>
    </row>
    <row r="398">
      <c r="A398" s="168"/>
      <c r="B398" s="168"/>
      <c r="C398" s="168"/>
      <c r="D398" s="168"/>
      <c r="E398" s="168"/>
      <c r="F398" s="168"/>
      <c r="G398" s="168"/>
      <c r="H398" s="168"/>
      <c r="I398" s="168"/>
      <c r="J398" s="168"/>
      <c r="K398" s="168"/>
      <c r="L398" s="168"/>
      <c r="M398" s="168"/>
      <c r="P398" s="168"/>
      <c r="Q398" s="168"/>
    </row>
    <row r="399">
      <c r="A399" s="168"/>
      <c r="B399" s="168"/>
      <c r="C399" s="168"/>
      <c r="D399" s="168"/>
      <c r="E399" s="168"/>
      <c r="F399" s="168"/>
      <c r="G399" s="168"/>
      <c r="H399" s="168"/>
      <c r="I399" s="168"/>
      <c r="J399" s="168"/>
      <c r="K399" s="168"/>
      <c r="L399" s="168"/>
      <c r="M399" s="168"/>
      <c r="P399" s="168"/>
      <c r="Q399" s="168"/>
    </row>
    <row r="400">
      <c r="A400" s="168"/>
      <c r="B400" s="168"/>
      <c r="C400" s="168"/>
      <c r="D400" s="168"/>
      <c r="E400" s="168"/>
      <c r="F400" s="168"/>
      <c r="G400" s="168"/>
      <c r="H400" s="168"/>
      <c r="I400" s="168"/>
      <c r="J400" s="168"/>
      <c r="K400" s="168"/>
      <c r="L400" s="168"/>
      <c r="M400" s="168"/>
      <c r="P400" s="168"/>
      <c r="Q400" s="168"/>
    </row>
    <row r="401">
      <c r="A401" s="168"/>
      <c r="B401" s="168"/>
      <c r="C401" s="168"/>
      <c r="D401" s="168"/>
      <c r="E401" s="168"/>
      <c r="F401" s="168"/>
      <c r="G401" s="168"/>
      <c r="H401" s="168"/>
      <c r="I401" s="168"/>
      <c r="J401" s="168"/>
      <c r="K401" s="168"/>
      <c r="L401" s="168"/>
      <c r="M401" s="168"/>
      <c r="P401" s="168"/>
      <c r="Q401" s="168"/>
    </row>
    <row r="402">
      <c r="A402" s="168"/>
      <c r="B402" s="168"/>
      <c r="C402" s="168"/>
      <c r="D402" s="168"/>
      <c r="E402" s="168"/>
      <c r="F402" s="168"/>
      <c r="G402" s="168"/>
      <c r="H402" s="168"/>
      <c r="I402" s="168"/>
      <c r="J402" s="168"/>
      <c r="K402" s="168"/>
      <c r="L402" s="168"/>
      <c r="M402" s="168"/>
      <c r="P402" s="168"/>
      <c r="Q402" s="168"/>
    </row>
    <row r="403">
      <c r="A403" s="168"/>
      <c r="B403" s="168"/>
      <c r="C403" s="168"/>
      <c r="D403" s="168"/>
      <c r="E403" s="168"/>
      <c r="F403" s="168"/>
      <c r="G403" s="168"/>
      <c r="H403" s="168"/>
      <c r="I403" s="168"/>
      <c r="J403" s="168"/>
      <c r="K403" s="168"/>
      <c r="L403" s="168"/>
      <c r="M403" s="168"/>
      <c r="P403" s="168"/>
      <c r="Q403" s="168"/>
    </row>
    <row r="404">
      <c r="A404" s="168"/>
      <c r="B404" s="168"/>
      <c r="C404" s="168"/>
      <c r="D404" s="168"/>
      <c r="E404" s="168"/>
      <c r="F404" s="168"/>
      <c r="G404" s="168"/>
      <c r="H404" s="168"/>
      <c r="I404" s="168"/>
      <c r="J404" s="168"/>
      <c r="K404" s="168"/>
      <c r="L404" s="168"/>
      <c r="M404" s="168"/>
      <c r="P404" s="168"/>
      <c r="Q404" s="168"/>
    </row>
    <row r="405">
      <c r="A405" s="168"/>
      <c r="B405" s="168"/>
      <c r="C405" s="168"/>
      <c r="D405" s="168"/>
      <c r="E405" s="168"/>
      <c r="F405" s="168"/>
      <c r="G405" s="168"/>
      <c r="H405" s="168"/>
      <c r="I405" s="168"/>
      <c r="J405" s="168"/>
      <c r="K405" s="168"/>
      <c r="L405" s="168"/>
      <c r="M405" s="168"/>
      <c r="P405" s="168"/>
      <c r="Q405" s="168"/>
    </row>
    <row r="406">
      <c r="A406" s="168"/>
      <c r="B406" s="168"/>
      <c r="C406" s="168"/>
      <c r="D406" s="168"/>
      <c r="E406" s="168"/>
      <c r="F406" s="168"/>
      <c r="G406" s="168"/>
      <c r="H406" s="168"/>
      <c r="I406" s="168"/>
      <c r="J406" s="168"/>
      <c r="K406" s="168"/>
      <c r="L406" s="168"/>
      <c r="M406" s="168"/>
      <c r="P406" s="168"/>
      <c r="Q406" s="168"/>
    </row>
    <row r="407">
      <c r="A407" s="168"/>
      <c r="B407" s="168"/>
      <c r="C407" s="168"/>
      <c r="D407" s="168"/>
      <c r="E407" s="168"/>
      <c r="F407" s="168"/>
      <c r="G407" s="168"/>
      <c r="H407" s="168"/>
      <c r="I407" s="168"/>
      <c r="J407" s="168"/>
      <c r="K407" s="168"/>
      <c r="L407" s="168"/>
      <c r="M407" s="168"/>
      <c r="P407" s="168"/>
      <c r="Q407" s="168"/>
    </row>
    <row r="408">
      <c r="A408" s="168"/>
      <c r="B408" s="168"/>
      <c r="C408" s="168"/>
      <c r="D408" s="168"/>
      <c r="E408" s="168"/>
      <c r="F408" s="168"/>
      <c r="G408" s="168"/>
      <c r="H408" s="168"/>
      <c r="I408" s="168"/>
      <c r="J408" s="168"/>
      <c r="K408" s="168"/>
      <c r="L408" s="168"/>
      <c r="M408" s="168"/>
      <c r="P408" s="168"/>
      <c r="Q408" s="168"/>
    </row>
    <row r="409">
      <c r="A409" s="168"/>
      <c r="B409" s="168"/>
      <c r="C409" s="168"/>
      <c r="D409" s="168"/>
      <c r="E409" s="168"/>
      <c r="F409" s="168"/>
      <c r="G409" s="168"/>
      <c r="H409" s="168"/>
      <c r="I409" s="168"/>
      <c r="J409" s="168"/>
      <c r="K409" s="168"/>
      <c r="L409" s="168"/>
      <c r="M409" s="168"/>
      <c r="P409" s="168"/>
      <c r="Q409" s="168"/>
    </row>
    <row r="410">
      <c r="A410" s="168"/>
      <c r="B410" s="168"/>
      <c r="C410" s="168"/>
      <c r="D410" s="168"/>
      <c r="E410" s="168"/>
      <c r="F410" s="168"/>
      <c r="G410" s="168"/>
      <c r="H410" s="168"/>
      <c r="I410" s="168"/>
      <c r="J410" s="168"/>
      <c r="K410" s="168"/>
      <c r="L410" s="168"/>
      <c r="M410" s="168"/>
      <c r="P410" s="168"/>
      <c r="Q410" s="168"/>
    </row>
    <row r="411">
      <c r="A411" s="168"/>
      <c r="B411" s="168"/>
      <c r="C411" s="168"/>
      <c r="D411" s="168"/>
      <c r="E411" s="168"/>
      <c r="F411" s="168"/>
      <c r="G411" s="168"/>
      <c r="H411" s="168"/>
      <c r="I411" s="168"/>
      <c r="J411" s="168"/>
      <c r="K411" s="168"/>
      <c r="L411" s="168"/>
      <c r="M411" s="168"/>
      <c r="P411" s="168"/>
      <c r="Q411" s="168"/>
    </row>
    <row r="412">
      <c r="A412" s="168"/>
      <c r="B412" s="168"/>
      <c r="C412" s="168"/>
      <c r="D412" s="168"/>
      <c r="E412" s="168"/>
      <c r="F412" s="168"/>
      <c r="G412" s="168"/>
      <c r="H412" s="168"/>
      <c r="I412" s="168"/>
      <c r="J412" s="168"/>
      <c r="K412" s="168"/>
      <c r="L412" s="168"/>
      <c r="M412" s="168"/>
      <c r="P412" s="168"/>
      <c r="Q412" s="168"/>
    </row>
    <row r="413">
      <c r="A413" s="168"/>
      <c r="B413" s="168"/>
      <c r="C413" s="168"/>
      <c r="D413" s="168"/>
      <c r="E413" s="168"/>
      <c r="F413" s="168"/>
      <c r="G413" s="168"/>
      <c r="H413" s="168"/>
      <c r="I413" s="168"/>
      <c r="J413" s="168"/>
      <c r="K413" s="168"/>
      <c r="L413" s="168"/>
      <c r="M413" s="168"/>
      <c r="P413" s="168"/>
      <c r="Q413" s="168"/>
    </row>
    <row r="414">
      <c r="A414" s="168"/>
      <c r="B414" s="168"/>
      <c r="C414" s="168"/>
      <c r="D414" s="168"/>
      <c r="E414" s="168"/>
      <c r="F414" s="168"/>
      <c r="G414" s="168"/>
      <c r="H414" s="168"/>
      <c r="I414" s="168"/>
      <c r="J414" s="168"/>
      <c r="K414" s="168"/>
      <c r="L414" s="168"/>
      <c r="M414" s="168"/>
      <c r="P414" s="168"/>
      <c r="Q414" s="168"/>
    </row>
    <row r="415">
      <c r="A415" s="168"/>
      <c r="B415" s="168"/>
      <c r="C415" s="168"/>
      <c r="D415" s="168"/>
      <c r="E415" s="168"/>
      <c r="F415" s="168"/>
      <c r="G415" s="168"/>
      <c r="H415" s="168"/>
      <c r="I415" s="168"/>
      <c r="J415" s="168"/>
      <c r="K415" s="168"/>
      <c r="L415" s="168"/>
      <c r="M415" s="168"/>
      <c r="P415" s="168"/>
      <c r="Q415" s="168"/>
    </row>
    <row r="416">
      <c r="A416" s="168"/>
      <c r="B416" s="168"/>
      <c r="C416" s="168"/>
      <c r="D416" s="168"/>
      <c r="E416" s="168"/>
      <c r="F416" s="168"/>
      <c r="G416" s="168"/>
      <c r="H416" s="168"/>
      <c r="I416" s="168"/>
      <c r="J416" s="168"/>
      <c r="K416" s="168"/>
      <c r="L416" s="168"/>
      <c r="M416" s="168"/>
      <c r="P416" s="168"/>
      <c r="Q416" s="168"/>
    </row>
    <row r="417">
      <c r="A417" s="168"/>
      <c r="B417" s="168"/>
      <c r="C417" s="168"/>
      <c r="D417" s="168"/>
      <c r="E417" s="168"/>
      <c r="F417" s="168"/>
      <c r="G417" s="168"/>
      <c r="H417" s="168"/>
      <c r="I417" s="168"/>
      <c r="J417" s="168"/>
      <c r="K417" s="168"/>
      <c r="L417" s="168"/>
      <c r="M417" s="168"/>
      <c r="P417" s="168"/>
      <c r="Q417" s="168"/>
    </row>
    <row r="418">
      <c r="A418" s="168"/>
      <c r="B418" s="168"/>
      <c r="C418" s="168"/>
      <c r="D418" s="168"/>
      <c r="E418" s="168"/>
      <c r="F418" s="168"/>
      <c r="G418" s="168"/>
      <c r="H418" s="168"/>
      <c r="I418" s="168"/>
      <c r="J418" s="168"/>
      <c r="K418" s="168"/>
      <c r="L418" s="168"/>
      <c r="M418" s="168"/>
      <c r="P418" s="168"/>
      <c r="Q418" s="168"/>
    </row>
    <row r="419">
      <c r="A419" s="168"/>
      <c r="B419" s="168"/>
      <c r="C419" s="168"/>
      <c r="D419" s="168"/>
      <c r="E419" s="168"/>
      <c r="F419" s="168"/>
      <c r="G419" s="168"/>
      <c r="H419" s="168"/>
      <c r="I419" s="168"/>
      <c r="J419" s="168"/>
      <c r="K419" s="168"/>
      <c r="L419" s="168"/>
      <c r="M419" s="168"/>
      <c r="P419" s="168"/>
      <c r="Q419" s="168"/>
    </row>
    <row r="420">
      <c r="A420" s="168"/>
      <c r="B420" s="168"/>
      <c r="C420" s="168"/>
      <c r="D420" s="168"/>
      <c r="E420" s="168"/>
      <c r="F420" s="168"/>
      <c r="G420" s="168"/>
      <c r="H420" s="168"/>
      <c r="I420" s="168"/>
      <c r="J420" s="168"/>
      <c r="K420" s="168"/>
      <c r="L420" s="168"/>
      <c r="M420" s="168"/>
      <c r="P420" s="168"/>
      <c r="Q420" s="168"/>
    </row>
    <row r="421">
      <c r="A421" s="168"/>
      <c r="B421" s="168"/>
      <c r="C421" s="168"/>
      <c r="D421" s="168"/>
      <c r="E421" s="168"/>
      <c r="F421" s="168"/>
      <c r="G421" s="168"/>
      <c r="H421" s="168"/>
      <c r="I421" s="168"/>
      <c r="J421" s="168"/>
      <c r="K421" s="168"/>
      <c r="L421" s="168"/>
      <c r="M421" s="168"/>
      <c r="P421" s="168"/>
      <c r="Q421" s="168"/>
    </row>
    <row r="422">
      <c r="A422" s="168"/>
      <c r="B422" s="168"/>
      <c r="C422" s="168"/>
      <c r="D422" s="168"/>
      <c r="E422" s="168"/>
      <c r="F422" s="168"/>
      <c r="G422" s="168"/>
      <c r="H422" s="168"/>
      <c r="I422" s="168"/>
      <c r="J422" s="168"/>
      <c r="K422" s="168"/>
      <c r="L422" s="168"/>
      <c r="M422" s="168"/>
      <c r="P422" s="168"/>
      <c r="Q422" s="168"/>
    </row>
    <row r="423">
      <c r="A423" s="168"/>
      <c r="B423" s="168"/>
      <c r="C423" s="168"/>
      <c r="D423" s="168"/>
      <c r="E423" s="168"/>
      <c r="F423" s="168"/>
      <c r="G423" s="168"/>
      <c r="H423" s="168"/>
      <c r="I423" s="168"/>
      <c r="J423" s="168"/>
      <c r="K423" s="168"/>
      <c r="L423" s="168"/>
      <c r="M423" s="168"/>
      <c r="P423" s="168"/>
      <c r="Q423" s="168"/>
    </row>
    <row r="424">
      <c r="A424" s="168"/>
      <c r="B424" s="168"/>
      <c r="C424" s="168"/>
      <c r="D424" s="168"/>
      <c r="E424" s="168"/>
      <c r="F424" s="168"/>
      <c r="G424" s="168"/>
      <c r="H424" s="168"/>
      <c r="I424" s="168"/>
      <c r="J424" s="168"/>
      <c r="K424" s="168"/>
      <c r="L424" s="168"/>
      <c r="M424" s="168"/>
      <c r="P424" s="168"/>
      <c r="Q424" s="168"/>
    </row>
    <row r="425">
      <c r="A425" s="168"/>
      <c r="B425" s="168"/>
      <c r="C425" s="168"/>
      <c r="D425" s="168"/>
      <c r="E425" s="168"/>
      <c r="F425" s="168"/>
      <c r="G425" s="168"/>
      <c r="H425" s="168"/>
      <c r="I425" s="168"/>
      <c r="J425" s="168"/>
      <c r="K425" s="168"/>
      <c r="L425" s="168"/>
      <c r="M425" s="168"/>
      <c r="P425" s="168"/>
      <c r="Q425" s="168"/>
    </row>
    <row r="426">
      <c r="A426" s="168"/>
      <c r="B426" s="168"/>
      <c r="C426" s="168"/>
      <c r="D426" s="168"/>
      <c r="E426" s="168"/>
      <c r="F426" s="168"/>
      <c r="G426" s="168"/>
      <c r="H426" s="168"/>
      <c r="I426" s="168"/>
      <c r="J426" s="168"/>
      <c r="K426" s="168"/>
      <c r="L426" s="168"/>
      <c r="M426" s="168"/>
      <c r="P426" s="168"/>
      <c r="Q426" s="168"/>
    </row>
    <row r="427">
      <c r="A427" s="168"/>
      <c r="B427" s="168"/>
      <c r="C427" s="168"/>
      <c r="D427" s="168"/>
      <c r="E427" s="168"/>
      <c r="F427" s="168"/>
      <c r="G427" s="168"/>
      <c r="H427" s="168"/>
      <c r="I427" s="168"/>
      <c r="J427" s="168"/>
      <c r="K427" s="168"/>
      <c r="L427" s="168"/>
      <c r="M427" s="168"/>
      <c r="P427" s="168"/>
      <c r="Q427" s="168"/>
    </row>
    <row r="428">
      <c r="A428" s="168"/>
      <c r="B428" s="168"/>
      <c r="C428" s="168"/>
      <c r="D428" s="168"/>
      <c r="E428" s="168"/>
      <c r="F428" s="168"/>
      <c r="G428" s="168"/>
      <c r="H428" s="168"/>
      <c r="I428" s="168"/>
      <c r="J428" s="168"/>
      <c r="K428" s="168"/>
      <c r="L428" s="168"/>
      <c r="M428" s="168"/>
      <c r="P428" s="168"/>
      <c r="Q428" s="168"/>
    </row>
    <row r="429">
      <c r="A429" s="168"/>
      <c r="B429" s="168"/>
      <c r="C429" s="168"/>
      <c r="D429" s="168"/>
      <c r="E429" s="168"/>
      <c r="F429" s="168"/>
      <c r="G429" s="168"/>
      <c r="H429" s="168"/>
      <c r="I429" s="168"/>
      <c r="J429" s="168"/>
      <c r="K429" s="168"/>
      <c r="L429" s="168"/>
      <c r="M429" s="168"/>
      <c r="P429" s="168"/>
      <c r="Q429" s="168"/>
    </row>
    <row r="430">
      <c r="A430" s="168"/>
      <c r="B430" s="168"/>
      <c r="C430" s="168"/>
      <c r="D430" s="168"/>
      <c r="E430" s="168"/>
      <c r="F430" s="168"/>
      <c r="G430" s="168"/>
      <c r="H430" s="168"/>
      <c r="I430" s="168"/>
      <c r="J430" s="168"/>
      <c r="K430" s="168"/>
      <c r="L430" s="168"/>
      <c r="M430" s="168"/>
      <c r="P430" s="168"/>
      <c r="Q430" s="168"/>
    </row>
    <row r="431">
      <c r="A431" s="168"/>
      <c r="B431" s="168"/>
      <c r="C431" s="168"/>
      <c r="D431" s="168"/>
      <c r="E431" s="168"/>
      <c r="F431" s="168"/>
      <c r="G431" s="168"/>
      <c r="H431" s="168"/>
      <c r="I431" s="168"/>
      <c r="J431" s="168"/>
      <c r="K431" s="168"/>
      <c r="L431" s="168"/>
      <c r="M431" s="168"/>
      <c r="P431" s="168"/>
      <c r="Q431" s="168"/>
    </row>
    <row r="432">
      <c r="A432" s="168"/>
      <c r="B432" s="168"/>
      <c r="C432" s="168"/>
      <c r="D432" s="168"/>
      <c r="E432" s="168"/>
      <c r="F432" s="168"/>
      <c r="G432" s="168"/>
      <c r="H432" s="168"/>
      <c r="I432" s="168"/>
      <c r="J432" s="168"/>
      <c r="K432" s="168"/>
      <c r="L432" s="168"/>
      <c r="M432" s="168"/>
      <c r="P432" s="168"/>
      <c r="Q432" s="168"/>
    </row>
    <row r="433">
      <c r="A433" s="168"/>
      <c r="B433" s="168"/>
      <c r="C433" s="168"/>
      <c r="D433" s="168"/>
      <c r="E433" s="168"/>
      <c r="F433" s="168"/>
      <c r="G433" s="168"/>
      <c r="H433" s="168"/>
      <c r="I433" s="168"/>
      <c r="J433" s="168"/>
      <c r="K433" s="168"/>
      <c r="L433" s="168"/>
      <c r="M433" s="168"/>
      <c r="P433" s="168"/>
      <c r="Q433" s="168"/>
    </row>
    <row r="434">
      <c r="A434" s="168"/>
      <c r="B434" s="168"/>
      <c r="C434" s="168"/>
      <c r="D434" s="168"/>
      <c r="E434" s="168"/>
      <c r="F434" s="168"/>
      <c r="G434" s="168"/>
      <c r="H434" s="168"/>
      <c r="I434" s="168"/>
      <c r="J434" s="168"/>
      <c r="K434" s="168"/>
      <c r="L434" s="168"/>
      <c r="M434" s="168"/>
      <c r="P434" s="168"/>
      <c r="Q434" s="168"/>
    </row>
    <row r="435">
      <c r="A435" s="168"/>
      <c r="B435" s="168"/>
      <c r="C435" s="168"/>
      <c r="D435" s="168"/>
      <c r="E435" s="168"/>
      <c r="F435" s="168"/>
      <c r="G435" s="168"/>
      <c r="H435" s="168"/>
      <c r="I435" s="168"/>
      <c r="J435" s="168"/>
      <c r="K435" s="168"/>
      <c r="L435" s="168"/>
      <c r="M435" s="168"/>
      <c r="P435" s="168"/>
      <c r="Q435" s="168"/>
    </row>
    <row r="436">
      <c r="A436" s="168"/>
      <c r="B436" s="168"/>
      <c r="C436" s="168"/>
      <c r="D436" s="168"/>
      <c r="E436" s="168"/>
      <c r="F436" s="168"/>
      <c r="G436" s="168"/>
      <c r="H436" s="168"/>
      <c r="I436" s="168"/>
      <c r="J436" s="168"/>
      <c r="K436" s="168"/>
      <c r="L436" s="168"/>
      <c r="M436" s="168"/>
      <c r="P436" s="168"/>
      <c r="Q436" s="168"/>
    </row>
    <row r="437">
      <c r="A437" s="168"/>
      <c r="B437" s="168"/>
      <c r="C437" s="168"/>
      <c r="D437" s="168"/>
      <c r="E437" s="168"/>
      <c r="F437" s="168"/>
      <c r="G437" s="168"/>
      <c r="H437" s="168"/>
      <c r="I437" s="168"/>
      <c r="J437" s="168"/>
      <c r="K437" s="168"/>
      <c r="L437" s="168"/>
      <c r="M437" s="168"/>
      <c r="P437" s="168"/>
      <c r="Q437" s="168"/>
    </row>
    <row r="438">
      <c r="A438" s="168"/>
      <c r="B438" s="168"/>
      <c r="C438" s="168"/>
      <c r="D438" s="168"/>
      <c r="E438" s="168"/>
      <c r="F438" s="168"/>
      <c r="G438" s="168"/>
      <c r="H438" s="168"/>
      <c r="I438" s="168"/>
      <c r="J438" s="168"/>
      <c r="K438" s="168"/>
      <c r="L438" s="168"/>
      <c r="M438" s="168"/>
      <c r="P438" s="168"/>
      <c r="Q438" s="168"/>
    </row>
    <row r="439">
      <c r="A439" s="168"/>
      <c r="B439" s="168"/>
      <c r="C439" s="168"/>
      <c r="D439" s="168"/>
      <c r="E439" s="168"/>
      <c r="F439" s="168"/>
      <c r="G439" s="168"/>
      <c r="H439" s="168"/>
      <c r="I439" s="168"/>
      <c r="J439" s="168"/>
      <c r="K439" s="168"/>
      <c r="L439" s="168"/>
      <c r="M439" s="168"/>
      <c r="P439" s="168"/>
      <c r="Q439" s="168"/>
    </row>
    <row r="440">
      <c r="A440" s="168"/>
      <c r="B440" s="168"/>
      <c r="C440" s="168"/>
      <c r="D440" s="168"/>
      <c r="E440" s="168"/>
      <c r="F440" s="168"/>
      <c r="G440" s="168"/>
      <c r="H440" s="168"/>
      <c r="I440" s="168"/>
      <c r="J440" s="168"/>
      <c r="K440" s="168"/>
      <c r="L440" s="168"/>
      <c r="M440" s="168"/>
      <c r="P440" s="168"/>
      <c r="Q440" s="168"/>
    </row>
    <row r="441">
      <c r="A441" s="168"/>
      <c r="B441" s="168"/>
      <c r="C441" s="168"/>
      <c r="D441" s="168"/>
      <c r="E441" s="168"/>
      <c r="F441" s="168"/>
      <c r="G441" s="168"/>
      <c r="H441" s="168"/>
      <c r="I441" s="168"/>
      <c r="J441" s="168"/>
      <c r="K441" s="168"/>
      <c r="L441" s="168"/>
      <c r="M441" s="168"/>
      <c r="P441" s="168"/>
      <c r="Q441" s="168"/>
    </row>
    <row r="442">
      <c r="A442" s="168"/>
      <c r="B442" s="168"/>
      <c r="C442" s="168"/>
      <c r="D442" s="168"/>
      <c r="E442" s="168"/>
      <c r="F442" s="168"/>
      <c r="G442" s="168"/>
      <c r="H442" s="168"/>
      <c r="I442" s="168"/>
      <c r="J442" s="168"/>
      <c r="K442" s="168"/>
      <c r="L442" s="168"/>
      <c r="M442" s="168"/>
      <c r="P442" s="168"/>
      <c r="Q442" s="168"/>
    </row>
    <row r="443">
      <c r="A443" s="168"/>
      <c r="B443" s="168"/>
      <c r="C443" s="168"/>
      <c r="D443" s="168"/>
      <c r="E443" s="168"/>
      <c r="F443" s="168"/>
      <c r="G443" s="168"/>
      <c r="H443" s="168"/>
      <c r="I443" s="168"/>
      <c r="J443" s="168"/>
      <c r="K443" s="168"/>
      <c r="L443" s="168"/>
      <c r="M443" s="168"/>
      <c r="P443" s="168"/>
      <c r="Q443" s="168"/>
    </row>
    <row r="444">
      <c r="A444" s="168"/>
      <c r="B444" s="168"/>
      <c r="C444" s="168"/>
      <c r="D444" s="168"/>
      <c r="E444" s="168"/>
      <c r="F444" s="168"/>
      <c r="G444" s="168"/>
      <c r="H444" s="168"/>
      <c r="I444" s="168"/>
      <c r="J444" s="168"/>
      <c r="K444" s="168"/>
      <c r="L444" s="168"/>
      <c r="M444" s="168"/>
      <c r="P444" s="168"/>
      <c r="Q444" s="168"/>
    </row>
    <row r="445">
      <c r="A445" s="168"/>
      <c r="B445" s="168"/>
      <c r="C445" s="168"/>
      <c r="D445" s="168"/>
      <c r="E445" s="168"/>
      <c r="F445" s="168"/>
      <c r="G445" s="168"/>
      <c r="H445" s="168"/>
      <c r="I445" s="168"/>
      <c r="J445" s="168"/>
      <c r="K445" s="168"/>
      <c r="L445" s="168"/>
      <c r="M445" s="168"/>
      <c r="P445" s="168"/>
      <c r="Q445" s="168"/>
    </row>
    <row r="446">
      <c r="A446" s="168"/>
      <c r="B446" s="168"/>
      <c r="C446" s="168"/>
      <c r="D446" s="168"/>
      <c r="E446" s="168"/>
      <c r="F446" s="168"/>
      <c r="G446" s="168"/>
      <c r="H446" s="168"/>
      <c r="I446" s="168"/>
      <c r="J446" s="168"/>
      <c r="K446" s="168"/>
      <c r="L446" s="168"/>
      <c r="M446" s="168"/>
      <c r="P446" s="168"/>
      <c r="Q446" s="168"/>
    </row>
    <row r="447">
      <c r="A447" s="168"/>
      <c r="B447" s="168"/>
      <c r="C447" s="168"/>
      <c r="D447" s="168"/>
      <c r="E447" s="168"/>
      <c r="F447" s="168"/>
      <c r="G447" s="168"/>
      <c r="H447" s="168"/>
      <c r="I447" s="168"/>
      <c r="J447" s="168"/>
      <c r="K447" s="168"/>
      <c r="L447" s="168"/>
      <c r="M447" s="168"/>
      <c r="P447" s="168"/>
      <c r="Q447" s="168"/>
    </row>
    <row r="448">
      <c r="A448" s="168"/>
      <c r="B448" s="168"/>
      <c r="C448" s="168"/>
      <c r="D448" s="168"/>
      <c r="E448" s="168"/>
      <c r="F448" s="168"/>
      <c r="G448" s="168"/>
      <c r="H448" s="168"/>
      <c r="I448" s="168"/>
      <c r="J448" s="168"/>
      <c r="K448" s="168"/>
      <c r="L448" s="168"/>
      <c r="M448" s="168"/>
      <c r="P448" s="168"/>
      <c r="Q448" s="168"/>
    </row>
    <row r="449">
      <c r="A449" s="168"/>
      <c r="B449" s="168"/>
      <c r="C449" s="168"/>
      <c r="D449" s="168"/>
      <c r="E449" s="168"/>
      <c r="F449" s="168"/>
      <c r="G449" s="168"/>
      <c r="H449" s="168"/>
      <c r="I449" s="168"/>
      <c r="J449" s="168"/>
      <c r="K449" s="168"/>
      <c r="L449" s="168"/>
      <c r="M449" s="168"/>
      <c r="P449" s="168"/>
      <c r="Q449" s="168"/>
    </row>
    <row r="450">
      <c r="A450" s="168"/>
      <c r="B450" s="168"/>
      <c r="C450" s="168"/>
      <c r="D450" s="168"/>
      <c r="E450" s="168"/>
      <c r="F450" s="168"/>
      <c r="G450" s="168"/>
      <c r="H450" s="168"/>
      <c r="I450" s="168"/>
      <c r="J450" s="168"/>
      <c r="K450" s="168"/>
      <c r="L450" s="168"/>
      <c r="M450" s="168"/>
      <c r="P450" s="168"/>
      <c r="Q450" s="168"/>
    </row>
    <row r="451">
      <c r="A451" s="168"/>
      <c r="B451" s="168"/>
      <c r="C451" s="168"/>
      <c r="D451" s="168"/>
      <c r="E451" s="168"/>
      <c r="F451" s="168"/>
      <c r="G451" s="168"/>
      <c r="H451" s="168"/>
      <c r="I451" s="168"/>
      <c r="J451" s="168"/>
      <c r="K451" s="168"/>
      <c r="L451" s="168"/>
      <c r="M451" s="168"/>
      <c r="P451" s="168"/>
      <c r="Q451" s="168"/>
    </row>
    <row r="452">
      <c r="A452" s="168"/>
      <c r="B452" s="168"/>
      <c r="C452" s="168"/>
      <c r="D452" s="168"/>
      <c r="E452" s="168"/>
      <c r="F452" s="168"/>
      <c r="G452" s="168"/>
      <c r="H452" s="168"/>
      <c r="I452" s="168"/>
      <c r="J452" s="168"/>
      <c r="K452" s="168"/>
      <c r="L452" s="168"/>
      <c r="M452" s="168"/>
      <c r="P452" s="168"/>
      <c r="Q452" s="168"/>
    </row>
    <row r="453">
      <c r="A453" s="168"/>
      <c r="B453" s="168"/>
      <c r="C453" s="168"/>
      <c r="D453" s="168"/>
      <c r="E453" s="168"/>
      <c r="F453" s="168"/>
      <c r="G453" s="168"/>
      <c r="H453" s="168"/>
      <c r="I453" s="168"/>
      <c r="J453" s="168"/>
      <c r="K453" s="168"/>
      <c r="L453" s="168"/>
      <c r="M453" s="168"/>
      <c r="P453" s="168"/>
      <c r="Q453" s="168"/>
    </row>
    <row r="454">
      <c r="A454" s="168"/>
      <c r="B454" s="168"/>
      <c r="C454" s="168"/>
      <c r="D454" s="168"/>
      <c r="E454" s="168"/>
      <c r="F454" s="168"/>
      <c r="G454" s="168"/>
      <c r="H454" s="168"/>
      <c r="I454" s="168"/>
      <c r="J454" s="168"/>
      <c r="K454" s="168"/>
      <c r="L454" s="168"/>
      <c r="M454" s="168"/>
      <c r="P454" s="168"/>
      <c r="Q454" s="168"/>
    </row>
    <row r="455">
      <c r="A455" s="168"/>
      <c r="B455" s="168"/>
      <c r="C455" s="168"/>
      <c r="D455" s="168"/>
      <c r="E455" s="168"/>
      <c r="F455" s="168"/>
      <c r="G455" s="168"/>
      <c r="H455" s="168"/>
      <c r="I455" s="168"/>
      <c r="J455" s="168"/>
      <c r="K455" s="168"/>
      <c r="L455" s="168"/>
      <c r="M455" s="168"/>
      <c r="P455" s="168"/>
      <c r="Q455" s="168"/>
    </row>
    <row r="456">
      <c r="A456" s="168"/>
      <c r="B456" s="168"/>
      <c r="C456" s="168"/>
      <c r="D456" s="168"/>
      <c r="E456" s="168"/>
      <c r="F456" s="168"/>
      <c r="G456" s="168"/>
      <c r="H456" s="168"/>
      <c r="I456" s="168"/>
      <c r="J456" s="168"/>
      <c r="K456" s="168"/>
      <c r="L456" s="168"/>
      <c r="M456" s="168"/>
      <c r="P456" s="168"/>
      <c r="Q456" s="168"/>
    </row>
    <row r="457">
      <c r="A457" s="168"/>
      <c r="B457" s="168"/>
      <c r="C457" s="168"/>
      <c r="D457" s="168"/>
      <c r="E457" s="168"/>
      <c r="F457" s="168"/>
      <c r="G457" s="168"/>
      <c r="H457" s="168"/>
      <c r="I457" s="168"/>
      <c r="J457" s="168"/>
      <c r="K457" s="168"/>
      <c r="L457" s="168"/>
      <c r="M457" s="168"/>
      <c r="P457" s="168"/>
      <c r="Q457" s="168"/>
    </row>
    <row r="458">
      <c r="A458" s="168"/>
      <c r="B458" s="168"/>
      <c r="C458" s="168"/>
      <c r="D458" s="168"/>
      <c r="E458" s="168"/>
      <c r="F458" s="168"/>
      <c r="G458" s="168"/>
      <c r="H458" s="168"/>
      <c r="I458" s="168"/>
      <c r="J458" s="168"/>
      <c r="K458" s="168"/>
      <c r="L458" s="168"/>
      <c r="M458" s="168"/>
      <c r="P458" s="168"/>
      <c r="Q458" s="168"/>
    </row>
    <row r="459">
      <c r="A459" s="168"/>
      <c r="B459" s="168"/>
      <c r="C459" s="168"/>
      <c r="D459" s="168"/>
      <c r="E459" s="168"/>
      <c r="F459" s="168"/>
      <c r="G459" s="168"/>
      <c r="H459" s="168"/>
      <c r="I459" s="168"/>
      <c r="J459" s="168"/>
      <c r="K459" s="168"/>
      <c r="L459" s="168"/>
      <c r="M459" s="168"/>
      <c r="P459" s="168"/>
      <c r="Q459" s="168"/>
    </row>
    <row r="460">
      <c r="A460" s="168"/>
      <c r="B460" s="168"/>
      <c r="C460" s="168"/>
      <c r="D460" s="168"/>
      <c r="E460" s="168"/>
      <c r="F460" s="168"/>
      <c r="G460" s="168"/>
      <c r="H460" s="168"/>
      <c r="I460" s="168"/>
      <c r="J460" s="168"/>
      <c r="K460" s="168"/>
      <c r="L460" s="168"/>
      <c r="M460" s="168"/>
      <c r="P460" s="168"/>
      <c r="Q460" s="168"/>
    </row>
    <row r="461">
      <c r="A461" s="168"/>
      <c r="B461" s="168"/>
      <c r="C461" s="168"/>
      <c r="D461" s="168"/>
      <c r="E461" s="168"/>
      <c r="F461" s="168"/>
      <c r="G461" s="168"/>
      <c r="H461" s="168"/>
      <c r="I461" s="168"/>
      <c r="J461" s="168"/>
      <c r="K461" s="168"/>
      <c r="L461" s="168"/>
      <c r="M461" s="168"/>
      <c r="P461" s="168"/>
      <c r="Q461" s="168"/>
    </row>
    <row r="462">
      <c r="A462" s="168"/>
      <c r="B462" s="168"/>
      <c r="C462" s="168"/>
      <c r="D462" s="168"/>
      <c r="E462" s="168"/>
      <c r="F462" s="168"/>
      <c r="G462" s="168"/>
      <c r="H462" s="168"/>
      <c r="I462" s="168"/>
      <c r="J462" s="168"/>
      <c r="K462" s="168"/>
      <c r="L462" s="168"/>
      <c r="M462" s="168"/>
      <c r="P462" s="168"/>
      <c r="Q462" s="168"/>
    </row>
    <row r="463">
      <c r="A463" s="168"/>
      <c r="B463" s="168"/>
      <c r="C463" s="168"/>
      <c r="D463" s="168"/>
      <c r="E463" s="168"/>
      <c r="F463" s="168"/>
      <c r="G463" s="168"/>
      <c r="H463" s="168"/>
      <c r="I463" s="168"/>
      <c r="J463" s="168"/>
      <c r="K463" s="168"/>
      <c r="L463" s="168"/>
      <c r="M463" s="168"/>
      <c r="P463" s="168"/>
      <c r="Q463" s="168"/>
    </row>
    <row r="464">
      <c r="A464" s="168"/>
      <c r="B464" s="168"/>
      <c r="C464" s="168"/>
      <c r="D464" s="168"/>
      <c r="E464" s="168"/>
      <c r="F464" s="168"/>
      <c r="G464" s="168"/>
      <c r="H464" s="168"/>
      <c r="I464" s="168"/>
      <c r="J464" s="168"/>
      <c r="K464" s="168"/>
      <c r="L464" s="168"/>
      <c r="M464" s="168"/>
      <c r="P464" s="168"/>
      <c r="Q464" s="168"/>
    </row>
    <row r="465">
      <c r="A465" s="168"/>
      <c r="B465" s="168"/>
      <c r="C465" s="168"/>
      <c r="D465" s="168"/>
      <c r="E465" s="168"/>
      <c r="F465" s="168"/>
      <c r="G465" s="168"/>
      <c r="H465" s="168"/>
      <c r="I465" s="168"/>
      <c r="J465" s="168"/>
      <c r="K465" s="168"/>
      <c r="L465" s="168"/>
      <c r="M465" s="168"/>
      <c r="P465" s="168"/>
      <c r="Q465" s="168"/>
    </row>
    <row r="466">
      <c r="A466" s="168"/>
      <c r="B466" s="168"/>
      <c r="C466" s="168"/>
      <c r="D466" s="168"/>
      <c r="E466" s="168"/>
      <c r="F466" s="168"/>
      <c r="G466" s="168"/>
      <c r="H466" s="168"/>
      <c r="I466" s="168"/>
      <c r="J466" s="168"/>
      <c r="K466" s="168"/>
      <c r="L466" s="168"/>
      <c r="M466" s="168"/>
      <c r="P466" s="168"/>
      <c r="Q466" s="168"/>
    </row>
    <row r="467">
      <c r="A467" s="168"/>
      <c r="B467" s="168"/>
      <c r="C467" s="168"/>
      <c r="D467" s="168"/>
      <c r="E467" s="168"/>
      <c r="F467" s="168"/>
      <c r="G467" s="168"/>
      <c r="H467" s="168"/>
      <c r="I467" s="168"/>
      <c r="J467" s="168"/>
      <c r="K467" s="168"/>
      <c r="L467" s="168"/>
      <c r="M467" s="168"/>
      <c r="P467" s="168"/>
      <c r="Q467" s="168"/>
    </row>
    <row r="468">
      <c r="A468" s="168"/>
      <c r="B468" s="168"/>
      <c r="C468" s="168"/>
      <c r="D468" s="168"/>
      <c r="E468" s="168"/>
      <c r="F468" s="168"/>
      <c r="G468" s="168"/>
      <c r="H468" s="168"/>
      <c r="I468" s="168"/>
      <c r="J468" s="168"/>
      <c r="K468" s="168"/>
      <c r="L468" s="168"/>
      <c r="M468" s="168"/>
      <c r="P468" s="168"/>
      <c r="Q468" s="168"/>
    </row>
    <row r="469">
      <c r="A469" s="168"/>
      <c r="B469" s="168"/>
      <c r="C469" s="168"/>
      <c r="D469" s="168"/>
      <c r="E469" s="168"/>
      <c r="F469" s="168"/>
      <c r="G469" s="168"/>
      <c r="H469" s="168"/>
      <c r="I469" s="168"/>
      <c r="J469" s="168"/>
      <c r="K469" s="168"/>
      <c r="L469" s="168"/>
      <c r="M469" s="168"/>
      <c r="P469" s="168"/>
      <c r="Q469" s="168"/>
    </row>
    <row r="470">
      <c r="A470" s="168"/>
      <c r="B470" s="168"/>
      <c r="C470" s="168"/>
      <c r="D470" s="168"/>
      <c r="E470" s="168"/>
      <c r="F470" s="168"/>
      <c r="G470" s="168"/>
      <c r="H470" s="168"/>
      <c r="I470" s="168"/>
      <c r="J470" s="168"/>
      <c r="K470" s="168"/>
      <c r="L470" s="168"/>
      <c r="M470" s="168"/>
      <c r="P470" s="168"/>
      <c r="Q470" s="168"/>
    </row>
    <row r="471">
      <c r="A471" s="168"/>
      <c r="B471" s="168"/>
      <c r="C471" s="168"/>
      <c r="D471" s="168"/>
      <c r="E471" s="168"/>
      <c r="F471" s="168"/>
      <c r="G471" s="168"/>
      <c r="H471" s="168"/>
      <c r="I471" s="168"/>
      <c r="J471" s="168"/>
      <c r="K471" s="168"/>
      <c r="L471" s="168"/>
      <c r="M471" s="168"/>
      <c r="P471" s="168"/>
      <c r="Q471" s="168"/>
    </row>
    <row r="472">
      <c r="A472" s="168"/>
      <c r="B472" s="168"/>
      <c r="C472" s="168"/>
      <c r="D472" s="168"/>
      <c r="E472" s="168"/>
      <c r="F472" s="168"/>
      <c r="G472" s="168"/>
      <c r="H472" s="168"/>
      <c r="I472" s="168"/>
      <c r="J472" s="168"/>
      <c r="K472" s="168"/>
      <c r="L472" s="168"/>
      <c r="M472" s="168"/>
      <c r="P472" s="168"/>
      <c r="Q472" s="168"/>
    </row>
    <row r="473">
      <c r="A473" s="168"/>
      <c r="B473" s="168"/>
      <c r="C473" s="168"/>
      <c r="D473" s="168"/>
      <c r="E473" s="168"/>
      <c r="F473" s="168"/>
      <c r="G473" s="168"/>
      <c r="H473" s="168"/>
      <c r="I473" s="168"/>
      <c r="J473" s="168"/>
      <c r="K473" s="168"/>
      <c r="L473" s="168"/>
      <c r="M473" s="168"/>
      <c r="P473" s="168"/>
      <c r="Q473" s="168"/>
    </row>
    <row r="474">
      <c r="A474" s="168"/>
      <c r="B474" s="168"/>
      <c r="C474" s="168"/>
      <c r="D474" s="168"/>
      <c r="E474" s="168"/>
      <c r="F474" s="168"/>
      <c r="G474" s="168"/>
      <c r="H474" s="168"/>
      <c r="I474" s="168"/>
      <c r="J474" s="168"/>
      <c r="K474" s="168"/>
      <c r="L474" s="168"/>
      <c r="M474" s="168"/>
      <c r="P474" s="168"/>
      <c r="Q474" s="168"/>
    </row>
    <row r="475">
      <c r="A475" s="168"/>
      <c r="B475" s="168"/>
      <c r="C475" s="168"/>
      <c r="D475" s="168"/>
      <c r="E475" s="168"/>
      <c r="F475" s="168"/>
      <c r="G475" s="168"/>
      <c r="H475" s="168"/>
      <c r="I475" s="168"/>
      <c r="J475" s="168"/>
      <c r="K475" s="168"/>
      <c r="L475" s="168"/>
      <c r="M475" s="168"/>
      <c r="P475" s="168"/>
      <c r="Q475" s="168"/>
    </row>
    <row r="476">
      <c r="A476" s="168"/>
      <c r="B476" s="168"/>
      <c r="C476" s="168"/>
      <c r="D476" s="168"/>
      <c r="E476" s="168"/>
      <c r="F476" s="168"/>
      <c r="G476" s="168"/>
      <c r="H476" s="168"/>
      <c r="I476" s="168"/>
      <c r="J476" s="168"/>
      <c r="K476" s="168"/>
      <c r="L476" s="168"/>
      <c r="M476" s="168"/>
      <c r="P476" s="168"/>
      <c r="Q476" s="168"/>
    </row>
    <row r="477">
      <c r="A477" s="168"/>
      <c r="B477" s="168"/>
      <c r="C477" s="168"/>
      <c r="D477" s="168"/>
      <c r="E477" s="168"/>
      <c r="F477" s="168"/>
      <c r="G477" s="168"/>
      <c r="H477" s="168"/>
      <c r="I477" s="168"/>
      <c r="J477" s="168"/>
      <c r="K477" s="168"/>
      <c r="L477" s="168"/>
      <c r="M477" s="168"/>
      <c r="P477" s="168"/>
      <c r="Q477" s="168"/>
    </row>
    <row r="478">
      <c r="A478" s="168"/>
      <c r="B478" s="168"/>
      <c r="C478" s="168"/>
      <c r="D478" s="168"/>
      <c r="E478" s="168"/>
      <c r="F478" s="168"/>
      <c r="G478" s="168"/>
      <c r="H478" s="168"/>
      <c r="I478" s="168"/>
      <c r="J478" s="168"/>
      <c r="K478" s="168"/>
      <c r="L478" s="168"/>
      <c r="M478" s="168"/>
      <c r="P478" s="168"/>
      <c r="Q478" s="168"/>
    </row>
    <row r="479">
      <c r="A479" s="168"/>
      <c r="B479" s="168"/>
      <c r="C479" s="168"/>
      <c r="D479" s="168"/>
      <c r="E479" s="168"/>
      <c r="F479" s="168"/>
      <c r="G479" s="168"/>
      <c r="H479" s="168"/>
      <c r="I479" s="168"/>
      <c r="J479" s="168"/>
      <c r="K479" s="168"/>
      <c r="L479" s="168"/>
      <c r="M479" s="168"/>
      <c r="P479" s="168"/>
      <c r="Q479" s="168"/>
    </row>
    <row r="480">
      <c r="A480" s="168"/>
      <c r="B480" s="168"/>
      <c r="C480" s="168"/>
      <c r="D480" s="168"/>
      <c r="E480" s="168"/>
      <c r="F480" s="168"/>
      <c r="G480" s="168"/>
      <c r="H480" s="168"/>
      <c r="I480" s="168"/>
      <c r="J480" s="168"/>
      <c r="K480" s="168"/>
      <c r="L480" s="168"/>
      <c r="M480" s="168"/>
      <c r="P480" s="168"/>
      <c r="Q480" s="168"/>
    </row>
    <row r="481">
      <c r="A481" s="168"/>
      <c r="B481" s="168"/>
      <c r="C481" s="168"/>
      <c r="D481" s="168"/>
      <c r="E481" s="168"/>
      <c r="F481" s="168"/>
      <c r="G481" s="168"/>
      <c r="H481" s="168"/>
      <c r="I481" s="168"/>
      <c r="J481" s="168"/>
      <c r="K481" s="168"/>
      <c r="L481" s="168"/>
      <c r="M481" s="168"/>
      <c r="P481" s="168"/>
      <c r="Q481" s="168"/>
    </row>
    <row r="482">
      <c r="A482" s="168"/>
      <c r="B482" s="168"/>
      <c r="C482" s="168"/>
      <c r="D482" s="168"/>
      <c r="E482" s="168"/>
      <c r="F482" s="168"/>
      <c r="G482" s="168"/>
      <c r="H482" s="168"/>
      <c r="I482" s="168"/>
      <c r="J482" s="168"/>
      <c r="K482" s="168"/>
      <c r="L482" s="168"/>
      <c r="M482" s="168"/>
      <c r="P482" s="168"/>
      <c r="Q482" s="168"/>
    </row>
    <row r="483">
      <c r="A483" s="168"/>
      <c r="B483" s="168"/>
      <c r="C483" s="168"/>
      <c r="D483" s="168"/>
      <c r="E483" s="168"/>
      <c r="F483" s="168"/>
      <c r="G483" s="168"/>
      <c r="H483" s="168"/>
      <c r="I483" s="168"/>
      <c r="J483" s="168"/>
      <c r="K483" s="168"/>
      <c r="L483" s="168"/>
      <c r="M483" s="168"/>
      <c r="P483" s="168"/>
      <c r="Q483" s="168"/>
    </row>
    <row r="484">
      <c r="A484" s="168"/>
      <c r="B484" s="168"/>
      <c r="C484" s="168"/>
      <c r="D484" s="168"/>
      <c r="E484" s="168"/>
      <c r="F484" s="168"/>
      <c r="G484" s="168"/>
      <c r="H484" s="168"/>
      <c r="I484" s="168"/>
      <c r="J484" s="168"/>
      <c r="K484" s="168"/>
      <c r="L484" s="168"/>
      <c r="M484" s="168"/>
      <c r="P484" s="168"/>
      <c r="Q484" s="168"/>
    </row>
    <row r="485">
      <c r="A485" s="168"/>
      <c r="B485" s="168"/>
      <c r="C485" s="168"/>
      <c r="D485" s="168"/>
      <c r="E485" s="168"/>
      <c r="F485" s="168"/>
      <c r="G485" s="168"/>
      <c r="H485" s="168"/>
      <c r="I485" s="168"/>
      <c r="J485" s="168"/>
      <c r="K485" s="168"/>
      <c r="L485" s="168"/>
      <c r="M485" s="168"/>
      <c r="P485" s="168"/>
      <c r="Q485" s="168"/>
    </row>
    <row r="486">
      <c r="A486" s="168"/>
      <c r="B486" s="168"/>
      <c r="C486" s="168"/>
      <c r="D486" s="168"/>
      <c r="E486" s="168"/>
      <c r="F486" s="168"/>
      <c r="G486" s="168"/>
      <c r="H486" s="168"/>
      <c r="I486" s="168"/>
      <c r="J486" s="168"/>
      <c r="K486" s="168"/>
      <c r="L486" s="168"/>
      <c r="M486" s="168"/>
      <c r="P486" s="168"/>
      <c r="Q486" s="168"/>
    </row>
    <row r="487">
      <c r="A487" s="168"/>
      <c r="B487" s="168"/>
      <c r="C487" s="168"/>
      <c r="D487" s="168"/>
      <c r="E487" s="168"/>
      <c r="F487" s="168"/>
      <c r="G487" s="168"/>
      <c r="H487" s="168"/>
      <c r="I487" s="168"/>
      <c r="J487" s="168"/>
      <c r="K487" s="168"/>
      <c r="L487" s="168"/>
      <c r="M487" s="168"/>
      <c r="P487" s="168"/>
      <c r="Q487" s="168"/>
    </row>
    <row r="488">
      <c r="A488" s="168"/>
      <c r="B488" s="168"/>
      <c r="C488" s="168"/>
      <c r="D488" s="168"/>
      <c r="E488" s="168"/>
      <c r="F488" s="168"/>
      <c r="G488" s="168"/>
      <c r="H488" s="168"/>
      <c r="I488" s="168"/>
      <c r="J488" s="168"/>
      <c r="K488" s="168"/>
      <c r="L488" s="168"/>
      <c r="M488" s="168"/>
      <c r="P488" s="168"/>
      <c r="Q488" s="168"/>
    </row>
    <row r="489">
      <c r="A489" s="168"/>
      <c r="B489" s="168"/>
      <c r="C489" s="168"/>
      <c r="D489" s="168"/>
      <c r="E489" s="168"/>
      <c r="F489" s="168"/>
      <c r="G489" s="168"/>
      <c r="H489" s="168"/>
      <c r="I489" s="168"/>
      <c r="J489" s="168"/>
      <c r="K489" s="168"/>
      <c r="L489" s="168"/>
      <c r="M489" s="168"/>
      <c r="P489" s="168"/>
      <c r="Q489" s="168"/>
    </row>
    <row r="490">
      <c r="A490" s="168"/>
      <c r="B490" s="168"/>
      <c r="C490" s="168"/>
      <c r="D490" s="168"/>
      <c r="E490" s="168"/>
      <c r="F490" s="168"/>
      <c r="G490" s="168"/>
      <c r="H490" s="168"/>
      <c r="I490" s="168"/>
      <c r="J490" s="168"/>
      <c r="K490" s="168"/>
      <c r="L490" s="168"/>
      <c r="M490" s="168"/>
      <c r="P490" s="168"/>
      <c r="Q490" s="168"/>
    </row>
    <row r="491">
      <c r="A491" s="168"/>
      <c r="B491" s="168"/>
      <c r="C491" s="168"/>
      <c r="D491" s="168"/>
      <c r="E491" s="168"/>
      <c r="F491" s="168"/>
      <c r="G491" s="168"/>
      <c r="H491" s="168"/>
      <c r="I491" s="168"/>
      <c r="J491" s="168"/>
      <c r="K491" s="168"/>
      <c r="L491" s="168"/>
      <c r="M491" s="168"/>
      <c r="P491" s="168"/>
      <c r="Q491" s="168"/>
    </row>
    <row r="492">
      <c r="A492" s="168"/>
      <c r="B492" s="168"/>
      <c r="C492" s="168"/>
      <c r="D492" s="168"/>
      <c r="E492" s="168"/>
      <c r="F492" s="168"/>
      <c r="G492" s="168"/>
      <c r="H492" s="168"/>
      <c r="I492" s="168"/>
      <c r="J492" s="168"/>
      <c r="K492" s="168"/>
      <c r="L492" s="168"/>
      <c r="M492" s="168"/>
      <c r="P492" s="168"/>
      <c r="Q492" s="168"/>
    </row>
    <row r="493">
      <c r="A493" s="168"/>
      <c r="B493" s="168"/>
      <c r="C493" s="168"/>
      <c r="D493" s="168"/>
      <c r="E493" s="168"/>
      <c r="F493" s="168"/>
      <c r="G493" s="168"/>
      <c r="H493" s="168"/>
      <c r="I493" s="168"/>
      <c r="J493" s="168"/>
      <c r="K493" s="168"/>
      <c r="L493" s="168"/>
      <c r="M493" s="168"/>
      <c r="P493" s="168"/>
      <c r="Q493" s="168"/>
    </row>
    <row r="494">
      <c r="A494" s="168"/>
      <c r="B494" s="168"/>
      <c r="C494" s="168"/>
      <c r="D494" s="168"/>
      <c r="E494" s="168"/>
      <c r="F494" s="168"/>
      <c r="G494" s="168"/>
      <c r="H494" s="168"/>
      <c r="I494" s="168"/>
      <c r="J494" s="168"/>
      <c r="K494" s="168"/>
      <c r="L494" s="168"/>
      <c r="M494" s="168"/>
      <c r="P494" s="168"/>
      <c r="Q494" s="168"/>
    </row>
    <row r="495">
      <c r="A495" s="168"/>
      <c r="B495" s="168"/>
      <c r="C495" s="168"/>
      <c r="D495" s="168"/>
      <c r="E495" s="168"/>
      <c r="F495" s="168"/>
      <c r="G495" s="168"/>
      <c r="H495" s="168"/>
      <c r="I495" s="168"/>
      <c r="J495" s="168"/>
      <c r="K495" s="168"/>
      <c r="L495" s="168"/>
      <c r="M495" s="168"/>
      <c r="P495" s="168"/>
      <c r="Q495" s="168"/>
    </row>
    <row r="496">
      <c r="A496" s="168"/>
      <c r="B496" s="168"/>
      <c r="C496" s="168"/>
      <c r="D496" s="168"/>
      <c r="E496" s="168"/>
      <c r="F496" s="168"/>
      <c r="G496" s="168"/>
      <c r="H496" s="168"/>
      <c r="I496" s="168"/>
      <c r="J496" s="168"/>
      <c r="K496" s="168"/>
      <c r="L496" s="168"/>
      <c r="M496" s="168"/>
      <c r="P496" s="168"/>
      <c r="Q496" s="168"/>
    </row>
    <row r="497">
      <c r="A497" s="168"/>
      <c r="B497" s="168"/>
      <c r="C497" s="168"/>
      <c r="D497" s="168"/>
      <c r="E497" s="168"/>
      <c r="F497" s="168"/>
      <c r="G497" s="168"/>
      <c r="H497" s="168"/>
      <c r="I497" s="168"/>
      <c r="J497" s="168"/>
      <c r="K497" s="168"/>
      <c r="L497" s="168"/>
      <c r="M497" s="168"/>
      <c r="P497" s="168"/>
      <c r="Q497" s="168"/>
    </row>
    <row r="498">
      <c r="A498" s="168"/>
      <c r="B498" s="168"/>
      <c r="C498" s="168"/>
      <c r="D498" s="168"/>
      <c r="E498" s="168"/>
      <c r="F498" s="168"/>
      <c r="G498" s="168"/>
      <c r="H498" s="168"/>
      <c r="I498" s="168"/>
      <c r="J498" s="168"/>
      <c r="K498" s="168"/>
      <c r="L498" s="168"/>
      <c r="M498" s="168"/>
      <c r="P498" s="168"/>
      <c r="Q498" s="168"/>
    </row>
    <row r="499">
      <c r="A499" s="168"/>
      <c r="B499" s="168"/>
      <c r="C499" s="168"/>
      <c r="D499" s="168"/>
      <c r="E499" s="168"/>
      <c r="F499" s="168"/>
      <c r="G499" s="168"/>
      <c r="H499" s="168"/>
      <c r="I499" s="168"/>
      <c r="J499" s="168"/>
      <c r="K499" s="168"/>
      <c r="L499" s="168"/>
      <c r="M499" s="168"/>
      <c r="P499" s="168"/>
      <c r="Q499" s="168"/>
    </row>
    <row r="500">
      <c r="A500" s="168"/>
      <c r="B500" s="168"/>
      <c r="C500" s="168"/>
      <c r="D500" s="168"/>
      <c r="E500" s="168"/>
      <c r="F500" s="168"/>
      <c r="G500" s="168"/>
      <c r="H500" s="168"/>
      <c r="I500" s="168"/>
      <c r="J500" s="168"/>
      <c r="K500" s="168"/>
      <c r="L500" s="168"/>
      <c r="M500" s="168"/>
      <c r="P500" s="168"/>
      <c r="Q500" s="168"/>
    </row>
    <row r="501">
      <c r="A501" s="168"/>
      <c r="B501" s="168"/>
      <c r="C501" s="168"/>
      <c r="D501" s="168"/>
      <c r="E501" s="168"/>
      <c r="F501" s="168"/>
      <c r="G501" s="168"/>
      <c r="H501" s="168"/>
      <c r="I501" s="168"/>
      <c r="J501" s="168"/>
      <c r="K501" s="168"/>
      <c r="L501" s="168"/>
      <c r="M501" s="168"/>
      <c r="P501" s="168"/>
      <c r="Q501" s="168"/>
    </row>
    <row r="502">
      <c r="A502" s="168"/>
      <c r="B502" s="168"/>
      <c r="C502" s="168"/>
      <c r="D502" s="168"/>
      <c r="E502" s="168"/>
      <c r="F502" s="168"/>
      <c r="G502" s="168"/>
      <c r="H502" s="168"/>
      <c r="I502" s="168"/>
      <c r="J502" s="168"/>
      <c r="K502" s="168"/>
      <c r="L502" s="168"/>
      <c r="M502" s="168"/>
      <c r="P502" s="168"/>
      <c r="Q502" s="168"/>
    </row>
    <row r="503">
      <c r="A503" s="168"/>
      <c r="B503" s="168"/>
      <c r="C503" s="168"/>
      <c r="D503" s="168"/>
      <c r="E503" s="168"/>
      <c r="F503" s="168"/>
      <c r="G503" s="168"/>
      <c r="H503" s="168"/>
      <c r="I503" s="168"/>
      <c r="J503" s="168"/>
      <c r="K503" s="168"/>
      <c r="L503" s="168"/>
      <c r="M503" s="168"/>
      <c r="P503" s="168"/>
      <c r="Q503" s="168"/>
    </row>
    <row r="504">
      <c r="A504" s="168"/>
      <c r="B504" s="168"/>
      <c r="C504" s="168"/>
      <c r="D504" s="168"/>
      <c r="E504" s="168"/>
      <c r="F504" s="168"/>
      <c r="G504" s="168"/>
      <c r="H504" s="168"/>
      <c r="I504" s="168"/>
      <c r="J504" s="168"/>
      <c r="K504" s="168"/>
      <c r="L504" s="168"/>
      <c r="M504" s="168"/>
      <c r="P504" s="168"/>
      <c r="Q504" s="168"/>
    </row>
    <row r="505">
      <c r="A505" s="168"/>
      <c r="B505" s="168"/>
      <c r="C505" s="168"/>
      <c r="D505" s="168"/>
      <c r="E505" s="168"/>
      <c r="F505" s="168"/>
      <c r="G505" s="168"/>
      <c r="H505" s="168"/>
      <c r="I505" s="168"/>
      <c r="J505" s="168"/>
      <c r="K505" s="168"/>
      <c r="L505" s="168"/>
      <c r="M505" s="168"/>
      <c r="P505" s="168"/>
      <c r="Q505" s="168"/>
    </row>
    <row r="506">
      <c r="A506" s="168"/>
      <c r="B506" s="168"/>
      <c r="C506" s="168"/>
      <c r="D506" s="168"/>
      <c r="E506" s="168"/>
      <c r="F506" s="168"/>
      <c r="G506" s="168"/>
      <c r="H506" s="168"/>
      <c r="I506" s="168"/>
      <c r="J506" s="168"/>
      <c r="K506" s="168"/>
      <c r="L506" s="168"/>
      <c r="M506" s="168"/>
      <c r="P506" s="168"/>
      <c r="Q506" s="168"/>
    </row>
    <row r="507">
      <c r="A507" s="168"/>
      <c r="B507" s="168"/>
      <c r="C507" s="168"/>
      <c r="D507" s="168"/>
      <c r="E507" s="168"/>
      <c r="F507" s="168"/>
      <c r="G507" s="168"/>
      <c r="H507" s="168"/>
      <c r="I507" s="168"/>
      <c r="J507" s="168"/>
      <c r="K507" s="168"/>
      <c r="L507" s="168"/>
      <c r="M507" s="168"/>
      <c r="P507" s="168"/>
      <c r="Q507" s="168"/>
    </row>
    <row r="508">
      <c r="A508" s="168"/>
      <c r="B508" s="168"/>
      <c r="C508" s="168"/>
      <c r="D508" s="168"/>
      <c r="E508" s="168"/>
      <c r="F508" s="168"/>
      <c r="G508" s="168"/>
      <c r="H508" s="168"/>
      <c r="I508" s="168"/>
      <c r="J508" s="168"/>
      <c r="K508" s="168"/>
      <c r="L508" s="168"/>
      <c r="M508" s="168"/>
      <c r="P508" s="168"/>
      <c r="Q508" s="168"/>
    </row>
    <row r="509">
      <c r="A509" s="168"/>
      <c r="B509" s="168"/>
      <c r="C509" s="168"/>
      <c r="D509" s="168"/>
      <c r="E509" s="168"/>
      <c r="F509" s="168"/>
      <c r="G509" s="168"/>
      <c r="H509" s="168"/>
      <c r="I509" s="168"/>
      <c r="J509" s="168"/>
      <c r="K509" s="168"/>
      <c r="L509" s="168"/>
      <c r="M509" s="168"/>
      <c r="P509" s="168"/>
      <c r="Q509" s="168"/>
    </row>
    <row r="510">
      <c r="A510" s="168"/>
      <c r="B510" s="168"/>
      <c r="C510" s="168"/>
      <c r="D510" s="168"/>
      <c r="E510" s="168"/>
      <c r="F510" s="168"/>
      <c r="G510" s="168"/>
      <c r="H510" s="168"/>
      <c r="I510" s="168"/>
      <c r="J510" s="168"/>
      <c r="K510" s="168"/>
      <c r="L510" s="168"/>
      <c r="M510" s="168"/>
      <c r="P510" s="168"/>
      <c r="Q510" s="168"/>
    </row>
    <row r="511">
      <c r="A511" s="168"/>
      <c r="B511" s="168"/>
      <c r="C511" s="168"/>
      <c r="D511" s="168"/>
      <c r="E511" s="168"/>
      <c r="F511" s="168"/>
      <c r="G511" s="168"/>
      <c r="H511" s="168"/>
      <c r="I511" s="168"/>
      <c r="J511" s="168"/>
      <c r="K511" s="168"/>
      <c r="L511" s="168"/>
      <c r="M511" s="168"/>
      <c r="P511" s="168"/>
      <c r="Q511" s="168"/>
    </row>
    <row r="512">
      <c r="A512" s="168"/>
      <c r="B512" s="168"/>
      <c r="C512" s="168"/>
      <c r="D512" s="168"/>
      <c r="E512" s="168"/>
      <c r="F512" s="168"/>
      <c r="G512" s="168"/>
      <c r="H512" s="168"/>
      <c r="I512" s="168"/>
      <c r="J512" s="168"/>
      <c r="K512" s="168"/>
      <c r="L512" s="168"/>
      <c r="M512" s="168"/>
      <c r="P512" s="168"/>
      <c r="Q512" s="168"/>
    </row>
    <row r="513">
      <c r="A513" s="168"/>
      <c r="B513" s="168"/>
      <c r="C513" s="168"/>
      <c r="D513" s="168"/>
      <c r="E513" s="168"/>
      <c r="F513" s="168"/>
      <c r="G513" s="168"/>
      <c r="H513" s="168"/>
      <c r="I513" s="168"/>
      <c r="J513" s="168"/>
      <c r="K513" s="168"/>
      <c r="L513" s="168"/>
      <c r="M513" s="168"/>
      <c r="P513" s="168"/>
      <c r="Q513" s="168"/>
    </row>
    <row r="514">
      <c r="A514" s="168"/>
      <c r="B514" s="168"/>
      <c r="C514" s="168"/>
      <c r="D514" s="168"/>
      <c r="E514" s="168"/>
      <c r="F514" s="168"/>
      <c r="G514" s="168"/>
      <c r="H514" s="168"/>
      <c r="I514" s="168"/>
      <c r="J514" s="168"/>
      <c r="K514" s="168"/>
      <c r="L514" s="168"/>
      <c r="M514" s="168"/>
      <c r="P514" s="168"/>
      <c r="Q514" s="168"/>
    </row>
    <row r="515">
      <c r="A515" s="168"/>
      <c r="B515" s="168"/>
      <c r="C515" s="168"/>
      <c r="D515" s="168"/>
      <c r="E515" s="168"/>
      <c r="F515" s="168"/>
      <c r="G515" s="168"/>
      <c r="H515" s="168"/>
      <c r="I515" s="168"/>
      <c r="J515" s="168"/>
      <c r="K515" s="168"/>
      <c r="L515" s="168"/>
      <c r="M515" s="168"/>
      <c r="P515" s="168"/>
      <c r="Q515" s="168"/>
    </row>
    <row r="516">
      <c r="A516" s="168"/>
      <c r="B516" s="168"/>
      <c r="C516" s="168"/>
      <c r="D516" s="168"/>
      <c r="E516" s="168"/>
      <c r="F516" s="168"/>
      <c r="G516" s="168"/>
      <c r="H516" s="168"/>
      <c r="I516" s="168"/>
      <c r="J516" s="168"/>
      <c r="K516" s="168"/>
      <c r="L516" s="168"/>
      <c r="M516" s="168"/>
      <c r="P516" s="168"/>
      <c r="Q516" s="168"/>
    </row>
    <row r="517">
      <c r="A517" s="168"/>
      <c r="B517" s="168"/>
      <c r="C517" s="168"/>
      <c r="D517" s="168"/>
      <c r="E517" s="168"/>
      <c r="F517" s="168"/>
      <c r="G517" s="168"/>
      <c r="H517" s="168"/>
      <c r="I517" s="168"/>
      <c r="J517" s="168"/>
      <c r="K517" s="168"/>
      <c r="L517" s="168"/>
      <c r="M517" s="168"/>
      <c r="P517" s="168"/>
      <c r="Q517" s="168"/>
    </row>
    <row r="518">
      <c r="A518" s="168"/>
      <c r="B518" s="168"/>
      <c r="C518" s="168"/>
      <c r="D518" s="168"/>
      <c r="E518" s="168"/>
      <c r="F518" s="168"/>
      <c r="G518" s="168"/>
      <c r="H518" s="168"/>
      <c r="I518" s="168"/>
      <c r="J518" s="168"/>
      <c r="K518" s="168"/>
      <c r="L518" s="168"/>
      <c r="M518" s="168"/>
      <c r="P518" s="168"/>
      <c r="Q518" s="168"/>
    </row>
    <row r="519">
      <c r="A519" s="168"/>
      <c r="B519" s="168"/>
      <c r="C519" s="168"/>
      <c r="D519" s="168"/>
      <c r="E519" s="168"/>
      <c r="F519" s="168"/>
      <c r="G519" s="168"/>
      <c r="H519" s="168"/>
      <c r="I519" s="168"/>
      <c r="J519" s="168"/>
      <c r="K519" s="168"/>
      <c r="L519" s="168"/>
      <c r="M519" s="168"/>
      <c r="P519" s="168"/>
      <c r="Q519" s="168"/>
    </row>
    <row r="520">
      <c r="A520" s="168"/>
      <c r="B520" s="168"/>
      <c r="C520" s="168"/>
      <c r="D520" s="168"/>
      <c r="E520" s="168"/>
      <c r="F520" s="168"/>
      <c r="G520" s="168"/>
      <c r="H520" s="168"/>
      <c r="I520" s="168"/>
      <c r="J520" s="168"/>
      <c r="K520" s="168"/>
      <c r="L520" s="168"/>
      <c r="M520" s="168"/>
      <c r="P520" s="168"/>
      <c r="Q520" s="168"/>
    </row>
    <row r="521">
      <c r="A521" s="168"/>
      <c r="B521" s="168"/>
      <c r="C521" s="168"/>
      <c r="D521" s="168"/>
      <c r="E521" s="168"/>
      <c r="F521" s="168"/>
      <c r="G521" s="168"/>
      <c r="H521" s="168"/>
      <c r="I521" s="168"/>
      <c r="J521" s="168"/>
      <c r="K521" s="168"/>
      <c r="L521" s="168"/>
      <c r="M521" s="168"/>
      <c r="P521" s="168"/>
      <c r="Q521" s="168"/>
    </row>
    <row r="522">
      <c r="A522" s="168"/>
      <c r="B522" s="168"/>
      <c r="C522" s="168"/>
      <c r="D522" s="168"/>
      <c r="E522" s="168"/>
      <c r="F522" s="168"/>
      <c r="G522" s="168"/>
      <c r="H522" s="168"/>
      <c r="I522" s="168"/>
      <c r="J522" s="168"/>
      <c r="K522" s="168"/>
      <c r="L522" s="168"/>
      <c r="M522" s="168"/>
      <c r="P522" s="168"/>
      <c r="Q522" s="168"/>
    </row>
    <row r="523">
      <c r="A523" s="168"/>
      <c r="B523" s="168"/>
      <c r="C523" s="168"/>
      <c r="D523" s="168"/>
      <c r="E523" s="168"/>
      <c r="F523" s="168"/>
      <c r="G523" s="168"/>
      <c r="H523" s="168"/>
      <c r="I523" s="168"/>
      <c r="J523" s="168"/>
      <c r="K523" s="168"/>
      <c r="L523" s="168"/>
      <c r="M523" s="168"/>
      <c r="P523" s="168"/>
      <c r="Q523" s="168"/>
    </row>
    <row r="524">
      <c r="A524" s="168"/>
      <c r="B524" s="168"/>
      <c r="C524" s="168"/>
      <c r="D524" s="168"/>
      <c r="E524" s="168"/>
      <c r="F524" s="168"/>
      <c r="G524" s="168"/>
      <c r="H524" s="168"/>
      <c r="I524" s="168"/>
      <c r="J524" s="168"/>
      <c r="K524" s="168"/>
      <c r="L524" s="168"/>
      <c r="M524" s="168"/>
      <c r="P524" s="168"/>
      <c r="Q524" s="168"/>
    </row>
    <row r="525">
      <c r="A525" s="168"/>
      <c r="B525" s="168"/>
      <c r="C525" s="168"/>
      <c r="D525" s="168"/>
      <c r="E525" s="168"/>
      <c r="F525" s="168"/>
      <c r="G525" s="168"/>
      <c r="H525" s="168"/>
      <c r="I525" s="168"/>
      <c r="J525" s="168"/>
      <c r="K525" s="168"/>
      <c r="L525" s="168"/>
      <c r="M525" s="168"/>
      <c r="P525" s="168"/>
      <c r="Q525" s="168"/>
    </row>
    <row r="526">
      <c r="A526" s="168"/>
      <c r="B526" s="168"/>
      <c r="C526" s="168"/>
      <c r="D526" s="168"/>
      <c r="E526" s="168"/>
      <c r="F526" s="168"/>
      <c r="G526" s="168"/>
      <c r="H526" s="168"/>
      <c r="I526" s="168"/>
      <c r="J526" s="168"/>
      <c r="K526" s="168"/>
      <c r="L526" s="168"/>
      <c r="M526" s="168"/>
      <c r="P526" s="168"/>
      <c r="Q526" s="168"/>
    </row>
    <row r="527">
      <c r="A527" s="168"/>
      <c r="B527" s="168"/>
      <c r="C527" s="168"/>
      <c r="D527" s="168"/>
      <c r="E527" s="168"/>
      <c r="F527" s="168"/>
      <c r="G527" s="168"/>
      <c r="H527" s="168"/>
      <c r="I527" s="168"/>
      <c r="J527" s="168"/>
      <c r="K527" s="168"/>
      <c r="L527" s="168"/>
      <c r="M527" s="168"/>
      <c r="P527" s="168"/>
      <c r="Q527" s="168"/>
    </row>
    <row r="528">
      <c r="A528" s="168"/>
      <c r="B528" s="168"/>
      <c r="C528" s="168"/>
      <c r="D528" s="168"/>
      <c r="E528" s="168"/>
      <c r="F528" s="168"/>
      <c r="G528" s="168"/>
      <c r="H528" s="168"/>
      <c r="I528" s="168"/>
      <c r="J528" s="168"/>
      <c r="K528" s="168"/>
      <c r="L528" s="168"/>
      <c r="M528" s="168"/>
      <c r="P528" s="168"/>
      <c r="Q528" s="168"/>
    </row>
    <row r="529">
      <c r="A529" s="168"/>
      <c r="B529" s="168"/>
      <c r="C529" s="168"/>
      <c r="D529" s="168"/>
      <c r="E529" s="168"/>
      <c r="F529" s="168"/>
      <c r="G529" s="168"/>
      <c r="H529" s="168"/>
      <c r="I529" s="168"/>
      <c r="J529" s="168"/>
      <c r="K529" s="168"/>
      <c r="L529" s="168"/>
      <c r="M529" s="168"/>
      <c r="P529" s="168"/>
      <c r="Q529" s="168"/>
    </row>
    <row r="530">
      <c r="A530" s="168"/>
      <c r="B530" s="168"/>
      <c r="C530" s="168"/>
      <c r="D530" s="168"/>
      <c r="E530" s="168"/>
      <c r="F530" s="168"/>
      <c r="G530" s="168"/>
      <c r="H530" s="168"/>
      <c r="I530" s="168"/>
      <c r="J530" s="168"/>
      <c r="K530" s="168"/>
      <c r="L530" s="168"/>
      <c r="M530" s="168"/>
      <c r="P530" s="168"/>
      <c r="Q530" s="168"/>
    </row>
    <row r="531">
      <c r="A531" s="168"/>
      <c r="B531" s="168"/>
      <c r="C531" s="168"/>
      <c r="D531" s="168"/>
      <c r="E531" s="168"/>
      <c r="F531" s="168"/>
      <c r="G531" s="168"/>
      <c r="H531" s="168"/>
      <c r="I531" s="168"/>
      <c r="J531" s="168"/>
      <c r="K531" s="168"/>
      <c r="L531" s="168"/>
      <c r="M531" s="168"/>
      <c r="P531" s="168"/>
      <c r="Q531" s="168"/>
    </row>
    <row r="532">
      <c r="A532" s="168"/>
      <c r="B532" s="168"/>
      <c r="C532" s="168"/>
      <c r="D532" s="168"/>
      <c r="E532" s="168"/>
      <c r="F532" s="168"/>
      <c r="G532" s="168"/>
      <c r="H532" s="168"/>
      <c r="I532" s="168"/>
      <c r="J532" s="168"/>
      <c r="K532" s="168"/>
      <c r="L532" s="168"/>
      <c r="M532" s="168"/>
      <c r="P532" s="168"/>
      <c r="Q532" s="168"/>
    </row>
    <row r="533">
      <c r="A533" s="168"/>
      <c r="B533" s="168"/>
      <c r="C533" s="168"/>
      <c r="D533" s="168"/>
      <c r="E533" s="168"/>
      <c r="F533" s="168"/>
      <c r="G533" s="168"/>
      <c r="H533" s="168"/>
      <c r="I533" s="168"/>
      <c r="J533" s="168"/>
      <c r="K533" s="168"/>
      <c r="L533" s="168"/>
      <c r="M533" s="168"/>
      <c r="P533" s="168"/>
      <c r="Q533" s="168"/>
    </row>
    <row r="534">
      <c r="A534" s="168"/>
      <c r="B534" s="168"/>
      <c r="C534" s="168"/>
      <c r="D534" s="168"/>
      <c r="E534" s="168"/>
      <c r="F534" s="168"/>
      <c r="G534" s="168"/>
      <c r="H534" s="168"/>
      <c r="I534" s="168"/>
      <c r="J534" s="168"/>
      <c r="K534" s="168"/>
      <c r="L534" s="168"/>
      <c r="M534" s="168"/>
      <c r="P534" s="168"/>
      <c r="Q534" s="168"/>
    </row>
    <row r="535">
      <c r="A535" s="168"/>
      <c r="B535" s="168"/>
      <c r="C535" s="168"/>
      <c r="D535" s="168"/>
      <c r="E535" s="168"/>
      <c r="F535" s="168"/>
      <c r="G535" s="168"/>
      <c r="H535" s="168"/>
      <c r="I535" s="168"/>
      <c r="J535" s="168"/>
      <c r="K535" s="168"/>
      <c r="L535" s="168"/>
      <c r="M535" s="168"/>
      <c r="P535" s="168"/>
      <c r="Q535" s="168"/>
    </row>
    <row r="536">
      <c r="A536" s="168"/>
      <c r="B536" s="168"/>
      <c r="C536" s="168"/>
      <c r="D536" s="168"/>
      <c r="E536" s="168"/>
      <c r="F536" s="168"/>
      <c r="G536" s="168"/>
      <c r="H536" s="168"/>
      <c r="I536" s="168"/>
      <c r="J536" s="168"/>
      <c r="K536" s="168"/>
      <c r="L536" s="168"/>
      <c r="M536" s="168"/>
      <c r="P536" s="168"/>
      <c r="Q536" s="168"/>
    </row>
    <row r="537">
      <c r="A537" s="168"/>
      <c r="B537" s="168"/>
      <c r="C537" s="168"/>
      <c r="D537" s="168"/>
      <c r="E537" s="168"/>
      <c r="F537" s="168"/>
      <c r="G537" s="168"/>
      <c r="H537" s="168"/>
      <c r="I537" s="168"/>
      <c r="J537" s="168"/>
      <c r="K537" s="168"/>
      <c r="L537" s="168"/>
      <c r="M537" s="168"/>
      <c r="P537" s="168"/>
      <c r="Q537" s="168"/>
    </row>
    <row r="538">
      <c r="A538" s="168"/>
      <c r="B538" s="168"/>
      <c r="C538" s="168"/>
      <c r="D538" s="168"/>
      <c r="E538" s="168"/>
      <c r="F538" s="168"/>
      <c r="G538" s="168"/>
      <c r="H538" s="168"/>
      <c r="I538" s="168"/>
      <c r="J538" s="168"/>
      <c r="K538" s="168"/>
      <c r="L538" s="168"/>
      <c r="M538" s="168"/>
      <c r="P538" s="168"/>
      <c r="Q538" s="168"/>
    </row>
    <row r="539">
      <c r="A539" s="168"/>
      <c r="B539" s="168"/>
      <c r="C539" s="168"/>
      <c r="D539" s="168"/>
      <c r="E539" s="168"/>
      <c r="F539" s="168"/>
      <c r="G539" s="168"/>
      <c r="H539" s="168"/>
      <c r="I539" s="168"/>
      <c r="J539" s="168"/>
      <c r="K539" s="168"/>
      <c r="L539" s="168"/>
      <c r="M539" s="168"/>
      <c r="P539" s="168"/>
      <c r="Q539" s="168"/>
    </row>
    <row r="540">
      <c r="A540" s="168"/>
      <c r="B540" s="168"/>
      <c r="C540" s="168"/>
      <c r="D540" s="168"/>
      <c r="E540" s="168"/>
      <c r="F540" s="168"/>
      <c r="G540" s="168"/>
      <c r="H540" s="168"/>
      <c r="I540" s="168"/>
      <c r="J540" s="168"/>
      <c r="K540" s="168"/>
      <c r="L540" s="168"/>
      <c r="M540" s="168"/>
      <c r="P540" s="168"/>
      <c r="Q540" s="168"/>
    </row>
    <row r="541">
      <c r="A541" s="168"/>
      <c r="B541" s="168"/>
      <c r="C541" s="168"/>
      <c r="D541" s="168"/>
      <c r="E541" s="168"/>
      <c r="F541" s="168"/>
      <c r="G541" s="168"/>
      <c r="H541" s="168"/>
      <c r="I541" s="168"/>
      <c r="J541" s="168"/>
      <c r="K541" s="168"/>
      <c r="L541" s="168"/>
      <c r="M541" s="168"/>
      <c r="P541" s="168"/>
      <c r="Q541" s="168"/>
    </row>
    <row r="542">
      <c r="A542" s="168"/>
      <c r="B542" s="168"/>
      <c r="C542" s="168"/>
      <c r="D542" s="168"/>
      <c r="E542" s="168"/>
      <c r="F542" s="168"/>
      <c r="G542" s="168"/>
      <c r="H542" s="168"/>
      <c r="I542" s="168"/>
      <c r="J542" s="168"/>
      <c r="K542" s="168"/>
      <c r="L542" s="168"/>
      <c r="M542" s="168"/>
      <c r="P542" s="168"/>
      <c r="Q542" s="168"/>
    </row>
    <row r="543">
      <c r="A543" s="168"/>
      <c r="B543" s="168"/>
      <c r="C543" s="168"/>
      <c r="D543" s="168"/>
      <c r="E543" s="168"/>
      <c r="F543" s="168"/>
      <c r="G543" s="168"/>
      <c r="H543" s="168"/>
      <c r="I543" s="168"/>
      <c r="J543" s="168"/>
      <c r="K543" s="168"/>
      <c r="L543" s="168"/>
      <c r="M543" s="168"/>
      <c r="P543" s="168"/>
      <c r="Q543" s="168"/>
    </row>
    <row r="544">
      <c r="A544" s="168"/>
      <c r="B544" s="168"/>
      <c r="C544" s="168"/>
      <c r="D544" s="168"/>
      <c r="E544" s="168"/>
      <c r="F544" s="168"/>
      <c r="G544" s="168"/>
      <c r="H544" s="168"/>
      <c r="I544" s="168"/>
      <c r="J544" s="168"/>
      <c r="K544" s="168"/>
      <c r="L544" s="168"/>
      <c r="M544" s="168"/>
      <c r="P544" s="168"/>
      <c r="Q544" s="168"/>
    </row>
    <row r="545">
      <c r="A545" s="168"/>
      <c r="B545" s="168"/>
      <c r="C545" s="168"/>
      <c r="D545" s="168"/>
      <c r="E545" s="168"/>
      <c r="F545" s="168"/>
      <c r="G545" s="168"/>
      <c r="H545" s="168"/>
      <c r="I545" s="168"/>
      <c r="J545" s="168"/>
      <c r="K545" s="168"/>
      <c r="L545" s="168"/>
      <c r="M545" s="168"/>
      <c r="P545" s="168"/>
      <c r="Q545" s="168"/>
    </row>
    <row r="546">
      <c r="A546" s="168"/>
      <c r="B546" s="168"/>
      <c r="C546" s="168"/>
      <c r="D546" s="168"/>
      <c r="E546" s="168"/>
      <c r="F546" s="168"/>
      <c r="G546" s="168"/>
      <c r="H546" s="168"/>
      <c r="I546" s="168"/>
      <c r="J546" s="168"/>
      <c r="K546" s="168"/>
      <c r="L546" s="168"/>
      <c r="M546" s="168"/>
      <c r="P546" s="168"/>
      <c r="Q546" s="168"/>
    </row>
    <row r="547">
      <c r="A547" s="168"/>
      <c r="B547" s="168"/>
      <c r="C547" s="168"/>
      <c r="D547" s="168"/>
      <c r="E547" s="168"/>
      <c r="F547" s="168"/>
      <c r="G547" s="168"/>
      <c r="H547" s="168"/>
      <c r="I547" s="168"/>
      <c r="J547" s="168"/>
      <c r="K547" s="168"/>
      <c r="L547" s="168"/>
      <c r="M547" s="168"/>
      <c r="P547" s="168"/>
      <c r="Q547" s="168"/>
    </row>
    <row r="548">
      <c r="A548" s="168"/>
      <c r="B548" s="168"/>
      <c r="C548" s="168"/>
      <c r="D548" s="168"/>
      <c r="E548" s="168"/>
      <c r="F548" s="168"/>
      <c r="G548" s="168"/>
      <c r="H548" s="168"/>
      <c r="I548" s="168"/>
      <c r="J548" s="168"/>
      <c r="K548" s="168"/>
      <c r="L548" s="168"/>
      <c r="M548" s="168"/>
      <c r="P548" s="168"/>
      <c r="Q548" s="168"/>
    </row>
    <row r="549">
      <c r="A549" s="168"/>
      <c r="B549" s="168"/>
      <c r="C549" s="168"/>
      <c r="D549" s="168"/>
      <c r="E549" s="168"/>
      <c r="F549" s="168"/>
      <c r="G549" s="168"/>
      <c r="H549" s="168"/>
      <c r="I549" s="168"/>
      <c r="J549" s="168"/>
      <c r="K549" s="168"/>
      <c r="L549" s="168"/>
      <c r="M549" s="168"/>
      <c r="P549" s="168"/>
      <c r="Q549" s="168"/>
    </row>
    <row r="550">
      <c r="A550" s="168"/>
      <c r="B550" s="168"/>
      <c r="C550" s="168"/>
      <c r="D550" s="168"/>
      <c r="E550" s="168"/>
      <c r="F550" s="168"/>
      <c r="G550" s="168"/>
      <c r="H550" s="168"/>
      <c r="I550" s="168"/>
      <c r="J550" s="168"/>
      <c r="K550" s="168"/>
      <c r="L550" s="168"/>
      <c r="M550" s="168"/>
      <c r="P550" s="168"/>
      <c r="Q550" s="168"/>
    </row>
    <row r="551">
      <c r="A551" s="168"/>
      <c r="B551" s="168"/>
      <c r="C551" s="168"/>
      <c r="D551" s="168"/>
      <c r="E551" s="168"/>
      <c r="F551" s="168"/>
      <c r="G551" s="168"/>
      <c r="H551" s="168"/>
      <c r="I551" s="168"/>
      <c r="J551" s="168"/>
      <c r="K551" s="168"/>
      <c r="L551" s="168"/>
      <c r="M551" s="168"/>
      <c r="P551" s="168"/>
      <c r="Q551" s="168"/>
    </row>
    <row r="552">
      <c r="A552" s="168"/>
      <c r="B552" s="168"/>
      <c r="C552" s="168"/>
      <c r="D552" s="168"/>
      <c r="E552" s="168"/>
      <c r="F552" s="168"/>
      <c r="G552" s="168"/>
      <c r="H552" s="168"/>
      <c r="I552" s="168"/>
      <c r="J552" s="168"/>
      <c r="K552" s="168"/>
      <c r="L552" s="168"/>
      <c r="M552" s="168"/>
      <c r="P552" s="168"/>
      <c r="Q552" s="168"/>
    </row>
    <row r="553">
      <c r="A553" s="168"/>
      <c r="B553" s="168"/>
      <c r="C553" s="168"/>
      <c r="D553" s="168"/>
      <c r="E553" s="168"/>
      <c r="F553" s="168"/>
      <c r="G553" s="168"/>
      <c r="H553" s="168"/>
      <c r="I553" s="168"/>
      <c r="J553" s="168"/>
      <c r="K553" s="168"/>
      <c r="L553" s="168"/>
      <c r="M553" s="168"/>
      <c r="P553" s="168"/>
      <c r="Q553" s="168"/>
    </row>
    <row r="554">
      <c r="A554" s="168"/>
      <c r="B554" s="168"/>
      <c r="C554" s="168"/>
      <c r="D554" s="168"/>
      <c r="E554" s="168"/>
      <c r="F554" s="168"/>
      <c r="G554" s="168"/>
      <c r="H554" s="168"/>
      <c r="I554" s="168"/>
      <c r="J554" s="168"/>
      <c r="K554" s="168"/>
      <c r="L554" s="168"/>
      <c r="M554" s="168"/>
      <c r="P554" s="168"/>
      <c r="Q554" s="168"/>
    </row>
    <row r="555">
      <c r="A555" s="168"/>
      <c r="B555" s="168"/>
      <c r="C555" s="168"/>
      <c r="D555" s="168"/>
      <c r="E555" s="168"/>
      <c r="F555" s="168"/>
      <c r="G555" s="168"/>
      <c r="H555" s="168"/>
      <c r="I555" s="168"/>
      <c r="J555" s="168"/>
      <c r="K555" s="168"/>
      <c r="L555" s="168"/>
      <c r="M555" s="168"/>
      <c r="P555" s="168"/>
      <c r="Q555" s="168"/>
    </row>
    <row r="556">
      <c r="A556" s="168"/>
      <c r="B556" s="168"/>
      <c r="C556" s="168"/>
      <c r="D556" s="168"/>
      <c r="E556" s="168"/>
      <c r="F556" s="168"/>
      <c r="G556" s="168"/>
      <c r="H556" s="168"/>
      <c r="I556" s="168"/>
      <c r="J556" s="168"/>
      <c r="K556" s="168"/>
      <c r="L556" s="168"/>
      <c r="M556" s="168"/>
      <c r="P556" s="168"/>
      <c r="Q556" s="168"/>
    </row>
    <row r="557">
      <c r="A557" s="168"/>
      <c r="B557" s="168"/>
      <c r="C557" s="168"/>
      <c r="D557" s="168"/>
      <c r="E557" s="168"/>
      <c r="F557" s="168"/>
      <c r="G557" s="168"/>
      <c r="H557" s="168"/>
      <c r="I557" s="168"/>
      <c r="J557" s="168"/>
      <c r="K557" s="168"/>
      <c r="L557" s="168"/>
      <c r="M557" s="168"/>
      <c r="P557" s="168"/>
      <c r="Q557" s="168"/>
    </row>
    <row r="558">
      <c r="A558" s="168"/>
      <c r="B558" s="168"/>
      <c r="C558" s="168"/>
      <c r="D558" s="168"/>
      <c r="E558" s="168"/>
      <c r="F558" s="168"/>
      <c r="G558" s="168"/>
      <c r="H558" s="168"/>
      <c r="I558" s="168"/>
      <c r="J558" s="168"/>
      <c r="K558" s="168"/>
      <c r="L558" s="168"/>
      <c r="M558" s="168"/>
      <c r="P558" s="168"/>
      <c r="Q558" s="168"/>
    </row>
    <row r="559">
      <c r="A559" s="168"/>
      <c r="B559" s="168"/>
      <c r="C559" s="168"/>
      <c r="D559" s="168"/>
      <c r="E559" s="168"/>
      <c r="F559" s="168"/>
      <c r="G559" s="168"/>
      <c r="H559" s="168"/>
      <c r="I559" s="168"/>
      <c r="J559" s="168"/>
      <c r="K559" s="168"/>
      <c r="L559" s="168"/>
      <c r="M559" s="168"/>
      <c r="P559" s="168"/>
      <c r="Q559" s="168"/>
    </row>
    <row r="560">
      <c r="A560" s="168"/>
      <c r="B560" s="168"/>
      <c r="C560" s="168"/>
      <c r="D560" s="168"/>
      <c r="E560" s="168"/>
      <c r="F560" s="168"/>
      <c r="G560" s="168"/>
      <c r="H560" s="168"/>
      <c r="I560" s="168"/>
      <c r="J560" s="168"/>
      <c r="K560" s="168"/>
      <c r="L560" s="168"/>
      <c r="M560" s="168"/>
      <c r="P560" s="168"/>
      <c r="Q560" s="168"/>
    </row>
    <row r="561">
      <c r="A561" s="168"/>
      <c r="B561" s="168"/>
      <c r="C561" s="168"/>
      <c r="D561" s="168"/>
      <c r="E561" s="168"/>
      <c r="F561" s="168"/>
      <c r="G561" s="168"/>
      <c r="H561" s="168"/>
      <c r="I561" s="168"/>
      <c r="J561" s="168"/>
      <c r="K561" s="168"/>
      <c r="L561" s="168"/>
      <c r="M561" s="168"/>
      <c r="P561" s="168"/>
      <c r="Q561" s="168"/>
    </row>
    <row r="562">
      <c r="A562" s="168"/>
      <c r="B562" s="168"/>
      <c r="C562" s="168"/>
      <c r="D562" s="168"/>
      <c r="E562" s="168"/>
      <c r="F562" s="168"/>
      <c r="G562" s="168"/>
      <c r="H562" s="168"/>
      <c r="I562" s="168"/>
      <c r="J562" s="168"/>
      <c r="K562" s="168"/>
      <c r="L562" s="168"/>
      <c r="M562" s="168"/>
      <c r="P562" s="168"/>
      <c r="Q562" s="168"/>
    </row>
    <row r="563">
      <c r="A563" s="168"/>
      <c r="B563" s="168"/>
      <c r="C563" s="168"/>
      <c r="D563" s="168"/>
      <c r="E563" s="168"/>
      <c r="F563" s="168"/>
      <c r="G563" s="168"/>
      <c r="H563" s="168"/>
      <c r="I563" s="168"/>
      <c r="J563" s="168"/>
      <c r="K563" s="168"/>
      <c r="L563" s="168"/>
      <c r="M563" s="168"/>
      <c r="P563" s="168"/>
      <c r="Q563" s="168"/>
    </row>
    <row r="564">
      <c r="A564" s="168"/>
      <c r="B564" s="168"/>
      <c r="C564" s="168"/>
      <c r="D564" s="168"/>
      <c r="E564" s="168"/>
      <c r="F564" s="168"/>
      <c r="G564" s="168"/>
      <c r="H564" s="168"/>
      <c r="I564" s="168"/>
      <c r="J564" s="168"/>
      <c r="K564" s="168"/>
      <c r="L564" s="168"/>
      <c r="M564" s="168"/>
      <c r="P564" s="168"/>
      <c r="Q564" s="168"/>
    </row>
    <row r="565">
      <c r="A565" s="168"/>
      <c r="B565" s="168"/>
      <c r="C565" s="168"/>
      <c r="D565" s="168"/>
      <c r="E565" s="168"/>
      <c r="F565" s="168"/>
      <c r="G565" s="168"/>
      <c r="H565" s="168"/>
      <c r="I565" s="168"/>
      <c r="J565" s="168"/>
      <c r="K565" s="168"/>
      <c r="L565" s="168"/>
      <c r="M565" s="168"/>
      <c r="P565" s="168"/>
      <c r="Q565" s="168"/>
    </row>
    <row r="566">
      <c r="A566" s="168"/>
      <c r="B566" s="168"/>
      <c r="C566" s="168"/>
      <c r="D566" s="168"/>
      <c r="E566" s="168"/>
      <c r="F566" s="168"/>
      <c r="G566" s="168"/>
      <c r="H566" s="168"/>
      <c r="I566" s="168"/>
      <c r="J566" s="168"/>
      <c r="K566" s="168"/>
      <c r="L566" s="168"/>
      <c r="M566" s="168"/>
      <c r="P566" s="168"/>
      <c r="Q566" s="168"/>
    </row>
    <row r="567">
      <c r="A567" s="168"/>
      <c r="B567" s="168"/>
      <c r="C567" s="168"/>
      <c r="D567" s="168"/>
      <c r="E567" s="168"/>
      <c r="F567" s="168"/>
      <c r="G567" s="168"/>
      <c r="H567" s="168"/>
      <c r="I567" s="168"/>
      <c r="J567" s="168"/>
      <c r="K567" s="168"/>
      <c r="L567" s="168"/>
      <c r="M567" s="168"/>
      <c r="P567" s="168"/>
      <c r="Q567" s="168"/>
    </row>
    <row r="568">
      <c r="A568" s="168"/>
      <c r="B568" s="168"/>
      <c r="C568" s="168"/>
      <c r="D568" s="168"/>
      <c r="E568" s="168"/>
      <c r="F568" s="168"/>
      <c r="G568" s="168"/>
      <c r="H568" s="168"/>
      <c r="I568" s="168"/>
      <c r="J568" s="168"/>
      <c r="K568" s="168"/>
      <c r="L568" s="168"/>
      <c r="M568" s="168"/>
      <c r="P568" s="168"/>
      <c r="Q568" s="168"/>
    </row>
    <row r="569">
      <c r="A569" s="168"/>
      <c r="B569" s="168"/>
      <c r="C569" s="168"/>
      <c r="D569" s="168"/>
      <c r="E569" s="168"/>
      <c r="F569" s="168"/>
      <c r="G569" s="168"/>
      <c r="H569" s="168"/>
      <c r="I569" s="168"/>
      <c r="J569" s="168"/>
      <c r="K569" s="168"/>
      <c r="L569" s="168"/>
      <c r="M569" s="168"/>
      <c r="P569" s="168"/>
      <c r="Q569" s="168"/>
    </row>
    <row r="570">
      <c r="A570" s="168"/>
      <c r="B570" s="168"/>
      <c r="C570" s="168"/>
      <c r="D570" s="168"/>
      <c r="E570" s="168"/>
      <c r="F570" s="168"/>
      <c r="G570" s="168"/>
      <c r="H570" s="168"/>
      <c r="I570" s="168"/>
      <c r="J570" s="168"/>
      <c r="K570" s="168"/>
      <c r="L570" s="168"/>
      <c r="M570" s="168"/>
      <c r="P570" s="168"/>
      <c r="Q570" s="168"/>
    </row>
    <row r="571">
      <c r="A571" s="168"/>
      <c r="B571" s="168"/>
      <c r="C571" s="168"/>
      <c r="D571" s="168"/>
      <c r="E571" s="168"/>
      <c r="F571" s="168"/>
      <c r="G571" s="168"/>
      <c r="H571" s="168"/>
      <c r="I571" s="168"/>
      <c r="J571" s="168"/>
      <c r="K571" s="168"/>
      <c r="L571" s="168"/>
      <c r="M571" s="168"/>
      <c r="P571" s="168"/>
      <c r="Q571" s="168"/>
    </row>
    <row r="572">
      <c r="A572" s="168"/>
      <c r="B572" s="168"/>
      <c r="C572" s="168"/>
      <c r="D572" s="168"/>
      <c r="E572" s="168"/>
      <c r="F572" s="168"/>
      <c r="G572" s="168"/>
      <c r="H572" s="168"/>
      <c r="I572" s="168"/>
      <c r="J572" s="168"/>
      <c r="K572" s="168"/>
      <c r="L572" s="168"/>
      <c r="M572" s="168"/>
      <c r="P572" s="168"/>
      <c r="Q572" s="168"/>
    </row>
    <row r="573">
      <c r="A573" s="168"/>
      <c r="B573" s="168"/>
      <c r="C573" s="168"/>
      <c r="D573" s="168"/>
      <c r="E573" s="168"/>
      <c r="F573" s="168"/>
      <c r="G573" s="168"/>
      <c r="H573" s="168"/>
      <c r="I573" s="168"/>
      <c r="J573" s="168"/>
      <c r="K573" s="168"/>
      <c r="L573" s="168"/>
      <c r="M573" s="168"/>
      <c r="P573" s="168"/>
      <c r="Q573" s="168"/>
    </row>
    <row r="574">
      <c r="A574" s="168"/>
      <c r="B574" s="168"/>
      <c r="C574" s="168"/>
      <c r="D574" s="168"/>
      <c r="E574" s="168"/>
      <c r="F574" s="168"/>
      <c r="G574" s="168"/>
      <c r="H574" s="168"/>
      <c r="I574" s="168"/>
      <c r="J574" s="168"/>
      <c r="K574" s="168"/>
      <c r="L574" s="168"/>
      <c r="M574" s="168"/>
      <c r="P574" s="168"/>
      <c r="Q574" s="168"/>
    </row>
    <row r="575">
      <c r="A575" s="168"/>
      <c r="B575" s="168"/>
      <c r="C575" s="168"/>
      <c r="D575" s="168"/>
      <c r="E575" s="168"/>
      <c r="F575" s="168"/>
      <c r="G575" s="168"/>
      <c r="H575" s="168"/>
      <c r="I575" s="168"/>
      <c r="J575" s="168"/>
      <c r="K575" s="168"/>
      <c r="L575" s="168"/>
      <c r="M575" s="168"/>
      <c r="P575" s="168"/>
      <c r="Q575" s="168"/>
    </row>
    <row r="576">
      <c r="A576" s="168"/>
      <c r="B576" s="168"/>
      <c r="C576" s="168"/>
      <c r="D576" s="168"/>
      <c r="E576" s="168"/>
      <c r="F576" s="168"/>
      <c r="G576" s="168"/>
      <c r="H576" s="168"/>
      <c r="I576" s="168"/>
      <c r="J576" s="168"/>
      <c r="K576" s="168"/>
      <c r="L576" s="168"/>
      <c r="M576" s="168"/>
      <c r="P576" s="168"/>
      <c r="Q576" s="168"/>
    </row>
    <row r="577">
      <c r="A577" s="168"/>
      <c r="B577" s="168"/>
      <c r="C577" s="168"/>
      <c r="D577" s="168"/>
      <c r="E577" s="168"/>
      <c r="F577" s="168"/>
      <c r="G577" s="168"/>
      <c r="H577" s="168"/>
      <c r="I577" s="168"/>
      <c r="J577" s="168"/>
      <c r="K577" s="168"/>
      <c r="L577" s="168"/>
      <c r="M577" s="168"/>
      <c r="P577" s="168"/>
      <c r="Q577" s="168"/>
    </row>
    <row r="578">
      <c r="A578" s="168"/>
      <c r="B578" s="168"/>
      <c r="C578" s="168"/>
      <c r="D578" s="168"/>
      <c r="E578" s="168"/>
      <c r="F578" s="168"/>
      <c r="G578" s="168"/>
      <c r="H578" s="168"/>
      <c r="I578" s="168"/>
      <c r="J578" s="168"/>
      <c r="K578" s="168"/>
      <c r="L578" s="168"/>
      <c r="M578" s="168"/>
      <c r="P578" s="168"/>
      <c r="Q578" s="168"/>
    </row>
    <row r="579">
      <c r="A579" s="168"/>
      <c r="B579" s="168"/>
      <c r="C579" s="168"/>
      <c r="D579" s="168"/>
      <c r="E579" s="168"/>
      <c r="F579" s="168"/>
      <c r="G579" s="168"/>
      <c r="H579" s="168"/>
      <c r="I579" s="168"/>
      <c r="J579" s="168"/>
      <c r="K579" s="168"/>
      <c r="L579" s="168"/>
      <c r="M579" s="168"/>
      <c r="P579" s="168"/>
      <c r="Q579" s="168"/>
    </row>
    <row r="580">
      <c r="A580" s="168"/>
      <c r="B580" s="168"/>
      <c r="C580" s="168"/>
      <c r="D580" s="168"/>
      <c r="E580" s="168"/>
      <c r="F580" s="168"/>
      <c r="G580" s="168"/>
      <c r="H580" s="168"/>
      <c r="I580" s="168"/>
      <c r="J580" s="168"/>
      <c r="K580" s="168"/>
      <c r="L580" s="168"/>
      <c r="M580" s="168"/>
      <c r="P580" s="168"/>
      <c r="Q580" s="168"/>
    </row>
    <row r="581">
      <c r="A581" s="168"/>
      <c r="B581" s="168"/>
      <c r="C581" s="168"/>
      <c r="D581" s="168"/>
      <c r="E581" s="168"/>
      <c r="F581" s="168"/>
      <c r="G581" s="168"/>
      <c r="H581" s="168"/>
      <c r="I581" s="168"/>
      <c r="J581" s="168"/>
      <c r="K581" s="168"/>
      <c r="L581" s="168"/>
      <c r="M581" s="168"/>
      <c r="P581" s="168"/>
      <c r="Q581" s="168"/>
    </row>
    <row r="582">
      <c r="A582" s="168"/>
      <c r="B582" s="168"/>
      <c r="C582" s="168"/>
      <c r="D582" s="168"/>
      <c r="E582" s="168"/>
      <c r="F582" s="168"/>
      <c r="G582" s="168"/>
      <c r="H582" s="168"/>
      <c r="I582" s="168"/>
      <c r="J582" s="168"/>
      <c r="K582" s="168"/>
      <c r="L582" s="168"/>
      <c r="M582" s="168"/>
      <c r="P582" s="168"/>
      <c r="Q582" s="168"/>
    </row>
    <row r="583">
      <c r="A583" s="168"/>
      <c r="B583" s="168"/>
      <c r="C583" s="168"/>
      <c r="D583" s="168"/>
      <c r="E583" s="168"/>
      <c r="F583" s="168"/>
      <c r="G583" s="168"/>
      <c r="H583" s="168"/>
      <c r="I583" s="168"/>
      <c r="J583" s="168"/>
      <c r="K583" s="168"/>
      <c r="L583" s="168"/>
      <c r="M583" s="168"/>
      <c r="P583" s="168"/>
      <c r="Q583" s="168"/>
    </row>
    <row r="584">
      <c r="A584" s="168"/>
      <c r="B584" s="168"/>
      <c r="C584" s="168"/>
      <c r="D584" s="168"/>
      <c r="E584" s="168"/>
      <c r="F584" s="168"/>
      <c r="G584" s="168"/>
      <c r="H584" s="168"/>
      <c r="I584" s="168"/>
      <c r="J584" s="168"/>
      <c r="K584" s="168"/>
      <c r="L584" s="168"/>
      <c r="M584" s="168"/>
      <c r="P584" s="168"/>
      <c r="Q584" s="168"/>
    </row>
    <row r="585">
      <c r="A585" s="168"/>
      <c r="B585" s="168"/>
      <c r="C585" s="168"/>
      <c r="D585" s="168"/>
      <c r="E585" s="168"/>
      <c r="F585" s="168"/>
      <c r="G585" s="168"/>
      <c r="H585" s="168"/>
      <c r="I585" s="168"/>
      <c r="J585" s="168"/>
      <c r="K585" s="168"/>
      <c r="L585" s="168"/>
      <c r="M585" s="168"/>
      <c r="P585" s="168"/>
      <c r="Q585" s="168"/>
    </row>
    <row r="586">
      <c r="A586" s="168"/>
      <c r="B586" s="168"/>
      <c r="C586" s="168"/>
      <c r="D586" s="168"/>
      <c r="E586" s="168"/>
      <c r="F586" s="168"/>
      <c r="G586" s="168"/>
      <c r="H586" s="168"/>
      <c r="I586" s="168"/>
      <c r="J586" s="168"/>
      <c r="K586" s="168"/>
      <c r="L586" s="168"/>
      <c r="M586" s="168"/>
      <c r="P586" s="168"/>
      <c r="Q586" s="168"/>
    </row>
    <row r="587">
      <c r="A587" s="168"/>
      <c r="B587" s="168"/>
      <c r="C587" s="168"/>
      <c r="D587" s="168"/>
      <c r="E587" s="168"/>
      <c r="F587" s="168"/>
      <c r="G587" s="168"/>
      <c r="H587" s="168"/>
      <c r="I587" s="168"/>
      <c r="J587" s="168"/>
      <c r="K587" s="168"/>
      <c r="L587" s="168"/>
      <c r="M587" s="168"/>
      <c r="P587" s="168"/>
      <c r="Q587" s="168"/>
    </row>
    <row r="588">
      <c r="A588" s="168"/>
      <c r="B588" s="168"/>
      <c r="C588" s="168"/>
      <c r="D588" s="168"/>
      <c r="E588" s="168"/>
      <c r="F588" s="168"/>
      <c r="G588" s="168"/>
      <c r="H588" s="168"/>
      <c r="I588" s="168"/>
      <c r="J588" s="168"/>
      <c r="K588" s="168"/>
      <c r="L588" s="168"/>
      <c r="M588" s="168"/>
      <c r="P588" s="168"/>
      <c r="Q588" s="168"/>
    </row>
    <row r="589">
      <c r="A589" s="168"/>
      <c r="B589" s="168"/>
      <c r="C589" s="168"/>
      <c r="D589" s="168"/>
      <c r="E589" s="168"/>
      <c r="F589" s="168"/>
      <c r="G589" s="168"/>
      <c r="H589" s="168"/>
      <c r="I589" s="168"/>
      <c r="J589" s="168"/>
      <c r="K589" s="168"/>
      <c r="L589" s="168"/>
      <c r="M589" s="168"/>
      <c r="P589" s="168"/>
      <c r="Q589" s="168"/>
    </row>
    <row r="590">
      <c r="A590" s="168"/>
      <c r="B590" s="168"/>
      <c r="C590" s="168"/>
      <c r="D590" s="168"/>
      <c r="E590" s="168"/>
      <c r="F590" s="168"/>
      <c r="G590" s="168"/>
      <c r="H590" s="168"/>
      <c r="I590" s="168"/>
      <c r="J590" s="168"/>
      <c r="K590" s="168"/>
      <c r="L590" s="168"/>
      <c r="M590" s="168"/>
      <c r="P590" s="168"/>
      <c r="Q590" s="168"/>
    </row>
    <row r="591">
      <c r="A591" s="168"/>
      <c r="B591" s="168"/>
      <c r="C591" s="168"/>
      <c r="D591" s="168"/>
      <c r="E591" s="168"/>
      <c r="F591" s="168"/>
      <c r="G591" s="168"/>
      <c r="H591" s="168"/>
      <c r="I591" s="168"/>
      <c r="J591" s="168"/>
      <c r="K591" s="168"/>
      <c r="L591" s="168"/>
      <c r="M591" s="168"/>
      <c r="P591" s="168"/>
      <c r="Q591" s="168"/>
    </row>
    <row r="592">
      <c r="A592" s="168"/>
      <c r="B592" s="168"/>
      <c r="C592" s="168"/>
      <c r="D592" s="168"/>
      <c r="E592" s="168"/>
      <c r="F592" s="168"/>
      <c r="G592" s="168"/>
      <c r="H592" s="168"/>
      <c r="I592" s="168"/>
      <c r="J592" s="168"/>
      <c r="K592" s="168"/>
      <c r="L592" s="168"/>
      <c r="M592" s="168"/>
      <c r="P592" s="168"/>
      <c r="Q592" s="168"/>
    </row>
    <row r="593">
      <c r="A593" s="168"/>
      <c r="B593" s="168"/>
      <c r="C593" s="168"/>
      <c r="D593" s="168"/>
      <c r="E593" s="168"/>
      <c r="F593" s="168"/>
      <c r="G593" s="168"/>
      <c r="H593" s="168"/>
      <c r="I593" s="168"/>
      <c r="J593" s="168"/>
      <c r="K593" s="168"/>
      <c r="L593" s="168"/>
      <c r="M593" s="168"/>
      <c r="P593" s="168"/>
      <c r="Q593" s="168"/>
    </row>
    <row r="594">
      <c r="A594" s="168"/>
      <c r="B594" s="168"/>
      <c r="C594" s="168"/>
      <c r="D594" s="168"/>
      <c r="E594" s="168"/>
      <c r="F594" s="168"/>
      <c r="G594" s="168"/>
      <c r="H594" s="168"/>
      <c r="I594" s="168"/>
      <c r="J594" s="168"/>
      <c r="K594" s="168"/>
      <c r="L594" s="168"/>
      <c r="M594" s="168"/>
      <c r="P594" s="168"/>
      <c r="Q594" s="168"/>
    </row>
    <row r="595">
      <c r="A595" s="168"/>
      <c r="B595" s="168"/>
      <c r="C595" s="168"/>
      <c r="D595" s="168"/>
      <c r="E595" s="168"/>
      <c r="F595" s="168"/>
      <c r="G595" s="168"/>
      <c r="H595" s="168"/>
      <c r="I595" s="168"/>
      <c r="J595" s="168"/>
      <c r="K595" s="168"/>
      <c r="L595" s="168"/>
      <c r="M595" s="168"/>
      <c r="P595" s="168"/>
      <c r="Q595" s="168"/>
    </row>
    <row r="596">
      <c r="A596" s="168"/>
      <c r="B596" s="168"/>
      <c r="C596" s="168"/>
      <c r="D596" s="168"/>
      <c r="E596" s="168"/>
      <c r="F596" s="168"/>
      <c r="G596" s="168"/>
      <c r="H596" s="168"/>
      <c r="I596" s="168"/>
      <c r="J596" s="168"/>
      <c r="K596" s="168"/>
      <c r="L596" s="168"/>
      <c r="M596" s="168"/>
      <c r="P596" s="168"/>
      <c r="Q596" s="168"/>
    </row>
    <row r="597">
      <c r="A597" s="168"/>
      <c r="B597" s="168"/>
      <c r="C597" s="168"/>
      <c r="D597" s="168"/>
      <c r="E597" s="168"/>
      <c r="F597" s="168"/>
      <c r="G597" s="168"/>
      <c r="H597" s="168"/>
      <c r="I597" s="168"/>
      <c r="J597" s="168"/>
      <c r="K597" s="168"/>
      <c r="L597" s="168"/>
      <c r="M597" s="168"/>
      <c r="P597" s="168"/>
      <c r="Q597" s="168"/>
    </row>
    <row r="598">
      <c r="A598" s="168"/>
      <c r="B598" s="168"/>
      <c r="C598" s="168"/>
      <c r="D598" s="168"/>
      <c r="E598" s="168"/>
      <c r="F598" s="168"/>
      <c r="G598" s="168"/>
      <c r="H598" s="168"/>
      <c r="I598" s="168"/>
      <c r="J598" s="168"/>
      <c r="K598" s="168"/>
      <c r="L598" s="168"/>
      <c r="M598" s="168"/>
      <c r="P598" s="168"/>
      <c r="Q598" s="168"/>
    </row>
    <row r="599">
      <c r="A599" s="168"/>
      <c r="B599" s="168"/>
      <c r="C599" s="168"/>
      <c r="D599" s="168"/>
      <c r="E599" s="168"/>
      <c r="F599" s="168"/>
      <c r="G599" s="168"/>
      <c r="H599" s="168"/>
      <c r="I599" s="168"/>
      <c r="J599" s="168"/>
      <c r="K599" s="168"/>
      <c r="L599" s="168"/>
      <c r="M599" s="168"/>
      <c r="P599" s="168"/>
      <c r="Q599" s="168"/>
    </row>
    <row r="600">
      <c r="A600" s="168"/>
      <c r="B600" s="168"/>
      <c r="C600" s="168"/>
      <c r="D600" s="168"/>
      <c r="E600" s="168"/>
      <c r="F600" s="168"/>
      <c r="G600" s="168"/>
      <c r="H600" s="168"/>
      <c r="I600" s="168"/>
      <c r="J600" s="168"/>
      <c r="K600" s="168"/>
      <c r="L600" s="168"/>
      <c r="M600" s="168"/>
      <c r="P600" s="168"/>
      <c r="Q600" s="168"/>
    </row>
    <row r="601">
      <c r="A601" s="168"/>
      <c r="B601" s="168"/>
      <c r="C601" s="168"/>
      <c r="D601" s="168"/>
      <c r="E601" s="168"/>
      <c r="F601" s="168"/>
      <c r="G601" s="168"/>
      <c r="H601" s="168"/>
      <c r="I601" s="168"/>
      <c r="J601" s="168"/>
      <c r="K601" s="168"/>
      <c r="L601" s="168"/>
      <c r="M601" s="168"/>
      <c r="P601" s="168"/>
      <c r="Q601" s="168"/>
    </row>
    <row r="602">
      <c r="A602" s="168"/>
      <c r="B602" s="168"/>
      <c r="C602" s="168"/>
      <c r="D602" s="168"/>
      <c r="E602" s="168"/>
      <c r="F602" s="168"/>
      <c r="G602" s="168"/>
      <c r="H602" s="168"/>
      <c r="I602" s="168"/>
      <c r="J602" s="168"/>
      <c r="K602" s="168"/>
      <c r="L602" s="168"/>
      <c r="M602" s="168"/>
      <c r="P602" s="168"/>
      <c r="Q602" s="168"/>
    </row>
    <row r="603">
      <c r="A603" s="168"/>
      <c r="B603" s="168"/>
      <c r="C603" s="168"/>
      <c r="D603" s="168"/>
      <c r="E603" s="168"/>
      <c r="F603" s="168"/>
      <c r="G603" s="168"/>
      <c r="H603" s="168"/>
      <c r="I603" s="168"/>
      <c r="J603" s="168"/>
      <c r="K603" s="168"/>
      <c r="L603" s="168"/>
      <c r="M603" s="168"/>
      <c r="P603" s="168"/>
      <c r="Q603" s="168"/>
    </row>
    <row r="604">
      <c r="A604" s="168"/>
      <c r="B604" s="168"/>
      <c r="C604" s="168"/>
      <c r="D604" s="168"/>
      <c r="E604" s="168"/>
      <c r="F604" s="168"/>
      <c r="G604" s="168"/>
      <c r="H604" s="168"/>
      <c r="I604" s="168"/>
      <c r="J604" s="168"/>
      <c r="K604" s="168"/>
      <c r="L604" s="168"/>
      <c r="M604" s="168"/>
      <c r="P604" s="168"/>
      <c r="Q604" s="168"/>
    </row>
    <row r="605">
      <c r="A605" s="168"/>
      <c r="B605" s="168"/>
      <c r="C605" s="168"/>
      <c r="D605" s="168"/>
      <c r="E605" s="168"/>
      <c r="F605" s="168"/>
      <c r="G605" s="168"/>
      <c r="H605" s="168"/>
      <c r="I605" s="168"/>
      <c r="J605" s="168"/>
      <c r="K605" s="168"/>
      <c r="L605" s="168"/>
      <c r="M605" s="168"/>
      <c r="P605" s="168"/>
      <c r="Q605" s="168"/>
    </row>
    <row r="606">
      <c r="A606" s="168"/>
      <c r="B606" s="168"/>
      <c r="C606" s="168"/>
      <c r="D606" s="168"/>
      <c r="E606" s="168"/>
      <c r="F606" s="168"/>
      <c r="G606" s="168"/>
      <c r="H606" s="168"/>
      <c r="I606" s="168"/>
      <c r="J606" s="168"/>
      <c r="K606" s="168"/>
      <c r="L606" s="168"/>
      <c r="M606" s="168"/>
      <c r="P606" s="168"/>
      <c r="Q606" s="168"/>
    </row>
    <row r="607">
      <c r="A607" s="168"/>
      <c r="B607" s="168"/>
      <c r="C607" s="168"/>
      <c r="D607" s="168"/>
      <c r="E607" s="168"/>
      <c r="F607" s="168"/>
      <c r="G607" s="168"/>
      <c r="H607" s="168"/>
      <c r="I607" s="168"/>
      <c r="J607" s="168"/>
      <c r="K607" s="168"/>
      <c r="L607" s="168"/>
      <c r="M607" s="168"/>
      <c r="P607" s="168"/>
      <c r="Q607" s="168"/>
    </row>
    <row r="608">
      <c r="A608" s="168"/>
      <c r="B608" s="168"/>
      <c r="C608" s="168"/>
      <c r="D608" s="168"/>
      <c r="E608" s="168"/>
      <c r="F608" s="168"/>
      <c r="G608" s="168"/>
      <c r="H608" s="168"/>
      <c r="I608" s="168"/>
      <c r="J608" s="168"/>
      <c r="K608" s="168"/>
      <c r="L608" s="168"/>
      <c r="M608" s="168"/>
      <c r="P608" s="168"/>
      <c r="Q608" s="168"/>
    </row>
    <row r="609">
      <c r="A609" s="168"/>
      <c r="B609" s="168"/>
      <c r="C609" s="168"/>
      <c r="D609" s="168"/>
      <c r="E609" s="168"/>
      <c r="F609" s="168"/>
      <c r="G609" s="168"/>
      <c r="H609" s="168"/>
      <c r="I609" s="168"/>
      <c r="J609" s="168"/>
      <c r="K609" s="168"/>
      <c r="L609" s="168"/>
      <c r="M609" s="168"/>
      <c r="P609" s="168"/>
      <c r="Q609" s="168"/>
    </row>
    <row r="610">
      <c r="A610" s="168"/>
      <c r="B610" s="168"/>
      <c r="C610" s="168"/>
      <c r="D610" s="168"/>
      <c r="E610" s="168"/>
      <c r="F610" s="168"/>
      <c r="G610" s="168"/>
      <c r="H610" s="168"/>
      <c r="I610" s="168"/>
      <c r="J610" s="168"/>
      <c r="K610" s="168"/>
      <c r="L610" s="168"/>
      <c r="M610" s="168"/>
      <c r="P610" s="168"/>
      <c r="Q610" s="168"/>
    </row>
    <row r="611">
      <c r="A611" s="168"/>
      <c r="B611" s="168"/>
      <c r="C611" s="168"/>
      <c r="D611" s="168"/>
      <c r="E611" s="168"/>
      <c r="F611" s="168"/>
      <c r="G611" s="168"/>
      <c r="H611" s="168"/>
      <c r="I611" s="168"/>
      <c r="J611" s="168"/>
      <c r="K611" s="168"/>
      <c r="L611" s="168"/>
      <c r="M611" s="168"/>
      <c r="P611" s="168"/>
      <c r="Q611" s="168"/>
    </row>
    <row r="612">
      <c r="A612" s="168"/>
      <c r="B612" s="168"/>
      <c r="C612" s="168"/>
      <c r="D612" s="168"/>
      <c r="E612" s="168"/>
      <c r="F612" s="168"/>
      <c r="G612" s="168"/>
      <c r="H612" s="168"/>
      <c r="I612" s="168"/>
      <c r="J612" s="168"/>
      <c r="K612" s="168"/>
      <c r="L612" s="168"/>
      <c r="M612" s="168"/>
      <c r="P612" s="168"/>
      <c r="Q612" s="168"/>
    </row>
    <row r="613">
      <c r="A613" s="168"/>
      <c r="B613" s="168"/>
      <c r="C613" s="168"/>
      <c r="D613" s="168"/>
      <c r="E613" s="168"/>
      <c r="F613" s="168"/>
      <c r="G613" s="168"/>
      <c r="H613" s="168"/>
      <c r="I613" s="168"/>
      <c r="J613" s="168"/>
      <c r="K613" s="168"/>
      <c r="L613" s="168"/>
      <c r="M613" s="168"/>
      <c r="P613" s="168"/>
      <c r="Q613" s="168"/>
    </row>
    <row r="614">
      <c r="A614" s="168"/>
      <c r="B614" s="168"/>
      <c r="C614" s="168"/>
      <c r="D614" s="168"/>
      <c r="E614" s="168"/>
      <c r="F614" s="168"/>
      <c r="G614" s="168"/>
      <c r="H614" s="168"/>
      <c r="I614" s="168"/>
      <c r="J614" s="168"/>
      <c r="K614" s="168"/>
      <c r="L614" s="168"/>
      <c r="M614" s="168"/>
      <c r="P614" s="168"/>
      <c r="Q614" s="168"/>
    </row>
    <row r="615">
      <c r="A615" s="168"/>
      <c r="B615" s="168"/>
      <c r="C615" s="168"/>
      <c r="D615" s="168"/>
      <c r="E615" s="168"/>
      <c r="F615" s="168"/>
      <c r="G615" s="168"/>
      <c r="H615" s="168"/>
      <c r="I615" s="168"/>
      <c r="J615" s="168"/>
      <c r="K615" s="168"/>
      <c r="L615" s="168"/>
      <c r="M615" s="168"/>
      <c r="P615" s="168"/>
      <c r="Q615" s="168"/>
    </row>
    <row r="616">
      <c r="A616" s="168"/>
      <c r="B616" s="168"/>
      <c r="C616" s="168"/>
      <c r="D616" s="168"/>
      <c r="E616" s="168"/>
      <c r="F616" s="168"/>
      <c r="G616" s="168"/>
      <c r="H616" s="168"/>
      <c r="I616" s="168"/>
      <c r="J616" s="168"/>
      <c r="K616" s="168"/>
      <c r="L616" s="168"/>
      <c r="M616" s="168"/>
      <c r="P616" s="168"/>
      <c r="Q616" s="168"/>
    </row>
    <row r="617">
      <c r="A617" s="168"/>
      <c r="B617" s="168"/>
      <c r="C617" s="168"/>
      <c r="D617" s="168"/>
      <c r="E617" s="168"/>
      <c r="F617" s="168"/>
      <c r="G617" s="168"/>
      <c r="H617" s="168"/>
      <c r="I617" s="168"/>
      <c r="J617" s="168"/>
      <c r="K617" s="168"/>
      <c r="L617" s="168"/>
      <c r="M617" s="168"/>
      <c r="P617" s="168"/>
      <c r="Q617" s="168"/>
    </row>
    <row r="618">
      <c r="A618" s="168"/>
      <c r="B618" s="168"/>
      <c r="C618" s="168"/>
      <c r="D618" s="168"/>
      <c r="E618" s="168"/>
      <c r="F618" s="168"/>
      <c r="G618" s="168"/>
      <c r="H618" s="168"/>
      <c r="I618" s="168"/>
      <c r="J618" s="168"/>
      <c r="K618" s="168"/>
      <c r="L618" s="168"/>
      <c r="M618" s="168"/>
      <c r="P618" s="168"/>
      <c r="Q618" s="168"/>
    </row>
    <row r="619">
      <c r="A619" s="168"/>
      <c r="B619" s="168"/>
      <c r="C619" s="168"/>
      <c r="D619" s="168"/>
      <c r="E619" s="168"/>
      <c r="F619" s="168"/>
      <c r="G619" s="168"/>
      <c r="H619" s="168"/>
      <c r="I619" s="168"/>
      <c r="J619" s="168"/>
      <c r="K619" s="168"/>
      <c r="L619" s="168"/>
      <c r="M619" s="168"/>
      <c r="P619" s="168"/>
      <c r="Q619" s="168"/>
    </row>
    <row r="620">
      <c r="A620" s="168"/>
      <c r="B620" s="168"/>
      <c r="C620" s="168"/>
      <c r="D620" s="168"/>
      <c r="E620" s="168"/>
      <c r="F620" s="168"/>
      <c r="G620" s="168"/>
      <c r="H620" s="168"/>
      <c r="I620" s="168"/>
      <c r="J620" s="168"/>
      <c r="K620" s="168"/>
      <c r="L620" s="168"/>
      <c r="M620" s="168"/>
      <c r="P620" s="168"/>
      <c r="Q620" s="168"/>
    </row>
    <row r="621">
      <c r="A621" s="168"/>
      <c r="B621" s="168"/>
      <c r="C621" s="168"/>
      <c r="D621" s="168"/>
      <c r="E621" s="168"/>
      <c r="F621" s="168"/>
      <c r="G621" s="168"/>
      <c r="H621" s="168"/>
      <c r="I621" s="168"/>
      <c r="J621" s="168"/>
      <c r="K621" s="168"/>
      <c r="L621" s="168"/>
      <c r="M621" s="168"/>
      <c r="P621" s="168"/>
      <c r="Q621" s="168"/>
    </row>
    <row r="622">
      <c r="A622" s="168"/>
      <c r="B622" s="168"/>
      <c r="C622" s="168"/>
      <c r="D622" s="168"/>
      <c r="E622" s="168"/>
      <c r="F622" s="168"/>
      <c r="G622" s="168"/>
      <c r="H622" s="168"/>
      <c r="I622" s="168"/>
      <c r="J622" s="168"/>
      <c r="K622" s="168"/>
      <c r="L622" s="168"/>
      <c r="M622" s="168"/>
      <c r="P622" s="168"/>
      <c r="Q622" s="168"/>
    </row>
    <row r="623">
      <c r="A623" s="168"/>
      <c r="B623" s="168"/>
      <c r="C623" s="168"/>
      <c r="D623" s="168"/>
      <c r="E623" s="168"/>
      <c r="F623" s="168"/>
      <c r="G623" s="168"/>
      <c r="H623" s="168"/>
      <c r="I623" s="168"/>
      <c r="J623" s="168"/>
      <c r="K623" s="168"/>
      <c r="L623" s="168"/>
      <c r="M623" s="168"/>
      <c r="P623" s="168"/>
      <c r="Q623" s="168"/>
    </row>
    <row r="624">
      <c r="A624" s="168"/>
      <c r="B624" s="168"/>
      <c r="C624" s="168"/>
      <c r="D624" s="168"/>
      <c r="E624" s="168"/>
      <c r="F624" s="168"/>
      <c r="G624" s="168"/>
      <c r="H624" s="168"/>
      <c r="I624" s="168"/>
      <c r="J624" s="168"/>
      <c r="K624" s="168"/>
      <c r="L624" s="168"/>
      <c r="M624" s="168"/>
      <c r="P624" s="168"/>
      <c r="Q624" s="168"/>
    </row>
    <row r="625">
      <c r="A625" s="168"/>
      <c r="B625" s="168"/>
      <c r="C625" s="168"/>
      <c r="D625" s="168"/>
      <c r="E625" s="168"/>
      <c r="F625" s="168"/>
      <c r="G625" s="168"/>
      <c r="H625" s="168"/>
      <c r="I625" s="168"/>
      <c r="J625" s="168"/>
      <c r="K625" s="168"/>
      <c r="L625" s="168"/>
      <c r="M625" s="168"/>
      <c r="P625" s="168"/>
      <c r="Q625" s="168"/>
    </row>
    <row r="626">
      <c r="A626" s="168"/>
      <c r="B626" s="168"/>
      <c r="C626" s="168"/>
      <c r="D626" s="168"/>
      <c r="E626" s="168"/>
      <c r="F626" s="168"/>
      <c r="G626" s="168"/>
      <c r="H626" s="168"/>
      <c r="I626" s="168"/>
      <c r="J626" s="168"/>
      <c r="K626" s="168"/>
      <c r="L626" s="168"/>
      <c r="M626" s="168"/>
      <c r="P626" s="168"/>
      <c r="Q626" s="168"/>
    </row>
    <row r="627">
      <c r="A627" s="168"/>
      <c r="B627" s="168"/>
      <c r="C627" s="168"/>
      <c r="D627" s="168"/>
      <c r="E627" s="168"/>
      <c r="F627" s="168"/>
      <c r="G627" s="168"/>
      <c r="H627" s="168"/>
      <c r="I627" s="168"/>
      <c r="J627" s="168"/>
      <c r="K627" s="168"/>
      <c r="L627" s="168"/>
      <c r="M627" s="168"/>
      <c r="P627" s="168"/>
      <c r="Q627" s="168"/>
    </row>
    <row r="628">
      <c r="A628" s="168"/>
      <c r="B628" s="168"/>
      <c r="C628" s="168"/>
      <c r="D628" s="168"/>
      <c r="E628" s="168"/>
      <c r="F628" s="168"/>
      <c r="G628" s="168"/>
      <c r="H628" s="168"/>
      <c r="I628" s="168"/>
      <c r="J628" s="168"/>
      <c r="K628" s="168"/>
      <c r="L628" s="168"/>
      <c r="M628" s="168"/>
      <c r="P628" s="168"/>
      <c r="Q628" s="168"/>
    </row>
    <row r="629">
      <c r="A629" s="168"/>
      <c r="B629" s="168"/>
      <c r="C629" s="168"/>
      <c r="D629" s="168"/>
      <c r="E629" s="168"/>
      <c r="F629" s="168"/>
      <c r="G629" s="168"/>
      <c r="H629" s="168"/>
      <c r="I629" s="168"/>
      <c r="J629" s="168"/>
      <c r="K629" s="168"/>
      <c r="L629" s="168"/>
      <c r="M629" s="168"/>
      <c r="P629" s="168"/>
      <c r="Q629" s="168"/>
    </row>
    <row r="630">
      <c r="A630" s="168"/>
      <c r="B630" s="168"/>
      <c r="C630" s="168"/>
      <c r="D630" s="168"/>
      <c r="E630" s="168"/>
      <c r="F630" s="168"/>
      <c r="G630" s="168"/>
      <c r="H630" s="168"/>
      <c r="I630" s="168"/>
      <c r="J630" s="168"/>
      <c r="K630" s="168"/>
      <c r="L630" s="168"/>
      <c r="M630" s="168"/>
      <c r="P630" s="168"/>
      <c r="Q630" s="168"/>
    </row>
    <row r="631">
      <c r="A631" s="168"/>
      <c r="B631" s="168"/>
      <c r="C631" s="168"/>
      <c r="D631" s="168"/>
      <c r="E631" s="168"/>
      <c r="F631" s="168"/>
      <c r="G631" s="168"/>
      <c r="H631" s="168"/>
      <c r="I631" s="168"/>
      <c r="J631" s="168"/>
      <c r="K631" s="168"/>
      <c r="L631" s="168"/>
      <c r="M631" s="168"/>
      <c r="P631" s="168"/>
      <c r="Q631" s="168"/>
    </row>
    <row r="632">
      <c r="A632" s="168"/>
      <c r="B632" s="168"/>
      <c r="C632" s="168"/>
      <c r="D632" s="168"/>
      <c r="E632" s="168"/>
      <c r="F632" s="168"/>
      <c r="G632" s="168"/>
      <c r="H632" s="168"/>
      <c r="I632" s="168"/>
      <c r="J632" s="168"/>
      <c r="K632" s="168"/>
      <c r="L632" s="168"/>
      <c r="M632" s="168"/>
      <c r="P632" s="168"/>
      <c r="Q632" s="168"/>
    </row>
    <row r="633">
      <c r="A633" s="168"/>
      <c r="B633" s="168"/>
      <c r="C633" s="168"/>
      <c r="D633" s="168"/>
      <c r="E633" s="168"/>
      <c r="F633" s="168"/>
      <c r="G633" s="168"/>
      <c r="H633" s="168"/>
      <c r="I633" s="168"/>
      <c r="J633" s="168"/>
      <c r="K633" s="168"/>
      <c r="L633" s="168"/>
      <c r="M633" s="168"/>
      <c r="P633" s="168"/>
      <c r="Q633" s="168"/>
    </row>
    <row r="634">
      <c r="A634" s="168"/>
      <c r="B634" s="168"/>
      <c r="C634" s="168"/>
      <c r="D634" s="168"/>
      <c r="E634" s="168"/>
      <c r="F634" s="168"/>
      <c r="G634" s="168"/>
      <c r="H634" s="168"/>
      <c r="I634" s="168"/>
      <c r="J634" s="168"/>
      <c r="K634" s="168"/>
      <c r="L634" s="168"/>
      <c r="M634" s="168"/>
      <c r="P634" s="168"/>
      <c r="Q634" s="168"/>
    </row>
    <row r="635">
      <c r="A635" s="168"/>
      <c r="B635" s="168"/>
      <c r="C635" s="168"/>
      <c r="D635" s="168"/>
      <c r="E635" s="168"/>
      <c r="F635" s="168"/>
      <c r="G635" s="168"/>
      <c r="H635" s="168"/>
      <c r="I635" s="168"/>
      <c r="J635" s="168"/>
      <c r="K635" s="168"/>
      <c r="L635" s="168"/>
      <c r="M635" s="168"/>
      <c r="P635" s="168"/>
      <c r="Q635" s="168"/>
    </row>
    <row r="636">
      <c r="A636" s="168"/>
      <c r="B636" s="168"/>
      <c r="C636" s="168"/>
      <c r="D636" s="168"/>
      <c r="E636" s="168"/>
      <c r="F636" s="168"/>
      <c r="G636" s="168"/>
      <c r="H636" s="168"/>
      <c r="I636" s="168"/>
      <c r="J636" s="168"/>
      <c r="K636" s="168"/>
      <c r="L636" s="168"/>
      <c r="M636" s="168"/>
      <c r="P636" s="168"/>
      <c r="Q636" s="168"/>
    </row>
    <row r="637">
      <c r="A637" s="168"/>
      <c r="B637" s="168"/>
      <c r="C637" s="168"/>
      <c r="D637" s="168"/>
      <c r="E637" s="168"/>
      <c r="F637" s="168"/>
      <c r="G637" s="168"/>
      <c r="H637" s="168"/>
      <c r="I637" s="168"/>
      <c r="J637" s="168"/>
      <c r="K637" s="168"/>
      <c r="L637" s="168"/>
      <c r="M637" s="168"/>
      <c r="P637" s="168"/>
      <c r="Q637" s="168"/>
    </row>
    <row r="638">
      <c r="A638" s="168"/>
      <c r="B638" s="168"/>
      <c r="C638" s="168"/>
      <c r="D638" s="168"/>
      <c r="E638" s="168"/>
      <c r="F638" s="168"/>
      <c r="G638" s="168"/>
      <c r="H638" s="168"/>
      <c r="I638" s="168"/>
      <c r="J638" s="168"/>
      <c r="K638" s="168"/>
      <c r="L638" s="168"/>
      <c r="M638" s="168"/>
      <c r="P638" s="168"/>
      <c r="Q638" s="168"/>
    </row>
    <row r="639">
      <c r="A639" s="168"/>
      <c r="B639" s="168"/>
      <c r="C639" s="168"/>
      <c r="D639" s="168"/>
      <c r="E639" s="168"/>
      <c r="F639" s="168"/>
      <c r="G639" s="168"/>
      <c r="H639" s="168"/>
      <c r="I639" s="168"/>
      <c r="J639" s="168"/>
      <c r="K639" s="168"/>
      <c r="L639" s="168"/>
      <c r="M639" s="168"/>
      <c r="P639" s="168"/>
      <c r="Q639" s="168"/>
    </row>
    <row r="640">
      <c r="A640" s="168"/>
      <c r="B640" s="168"/>
      <c r="C640" s="168"/>
      <c r="D640" s="168"/>
      <c r="E640" s="168"/>
      <c r="F640" s="168"/>
      <c r="G640" s="168"/>
      <c r="H640" s="168"/>
      <c r="I640" s="168"/>
      <c r="J640" s="168"/>
      <c r="K640" s="168"/>
      <c r="L640" s="168"/>
      <c r="M640" s="168"/>
      <c r="P640" s="168"/>
      <c r="Q640" s="168"/>
    </row>
    <row r="641">
      <c r="A641" s="168"/>
      <c r="B641" s="168"/>
      <c r="C641" s="168"/>
      <c r="D641" s="168"/>
      <c r="E641" s="168"/>
      <c r="F641" s="168"/>
      <c r="G641" s="168"/>
      <c r="H641" s="168"/>
      <c r="I641" s="168"/>
      <c r="J641" s="168"/>
      <c r="K641" s="168"/>
      <c r="L641" s="168"/>
      <c r="M641" s="168"/>
      <c r="P641" s="168"/>
      <c r="Q641" s="168"/>
    </row>
    <row r="642">
      <c r="A642" s="168"/>
      <c r="B642" s="168"/>
      <c r="C642" s="168"/>
      <c r="D642" s="168"/>
      <c r="E642" s="168"/>
      <c r="F642" s="168"/>
      <c r="G642" s="168"/>
      <c r="H642" s="168"/>
      <c r="I642" s="168"/>
      <c r="J642" s="168"/>
      <c r="K642" s="168"/>
      <c r="L642" s="168"/>
      <c r="M642" s="168"/>
      <c r="P642" s="168"/>
      <c r="Q642" s="168"/>
    </row>
    <row r="643">
      <c r="A643" s="168"/>
      <c r="B643" s="168"/>
      <c r="C643" s="168"/>
      <c r="D643" s="168"/>
      <c r="E643" s="168"/>
      <c r="F643" s="168"/>
      <c r="G643" s="168"/>
      <c r="H643" s="168"/>
      <c r="I643" s="168"/>
      <c r="J643" s="168"/>
      <c r="K643" s="168"/>
      <c r="L643" s="168"/>
      <c r="M643" s="168"/>
      <c r="P643" s="168"/>
      <c r="Q643" s="168"/>
    </row>
    <row r="644">
      <c r="A644" s="168"/>
      <c r="B644" s="168"/>
      <c r="C644" s="168"/>
      <c r="D644" s="168"/>
      <c r="E644" s="168"/>
      <c r="F644" s="168"/>
      <c r="G644" s="168"/>
      <c r="H644" s="168"/>
      <c r="I644" s="168"/>
      <c r="J644" s="168"/>
      <c r="K644" s="168"/>
      <c r="L644" s="168"/>
      <c r="M644" s="168"/>
      <c r="P644" s="168"/>
      <c r="Q644" s="168"/>
    </row>
    <row r="645">
      <c r="A645" s="168"/>
      <c r="B645" s="168"/>
      <c r="C645" s="168"/>
      <c r="D645" s="168"/>
      <c r="E645" s="168"/>
      <c r="F645" s="168"/>
      <c r="G645" s="168"/>
      <c r="H645" s="168"/>
      <c r="I645" s="168"/>
      <c r="J645" s="168"/>
      <c r="K645" s="168"/>
      <c r="L645" s="168"/>
      <c r="M645" s="168"/>
      <c r="P645" s="168"/>
      <c r="Q645" s="168"/>
    </row>
    <row r="646">
      <c r="A646" s="168"/>
      <c r="B646" s="168"/>
      <c r="C646" s="168"/>
      <c r="D646" s="168"/>
      <c r="E646" s="168"/>
      <c r="F646" s="168"/>
      <c r="G646" s="168"/>
      <c r="H646" s="168"/>
      <c r="I646" s="168"/>
      <c r="J646" s="168"/>
      <c r="K646" s="168"/>
      <c r="L646" s="168"/>
      <c r="M646" s="168"/>
      <c r="P646" s="168"/>
      <c r="Q646" s="168"/>
    </row>
    <row r="647">
      <c r="A647" s="168"/>
      <c r="B647" s="168"/>
      <c r="C647" s="168"/>
      <c r="D647" s="168"/>
      <c r="E647" s="168"/>
      <c r="F647" s="168"/>
      <c r="G647" s="168"/>
      <c r="H647" s="168"/>
      <c r="I647" s="168"/>
      <c r="J647" s="168"/>
      <c r="K647" s="168"/>
      <c r="L647" s="168"/>
      <c r="M647" s="168"/>
      <c r="P647" s="168"/>
      <c r="Q647" s="168"/>
    </row>
    <row r="648">
      <c r="A648" s="168"/>
      <c r="B648" s="168"/>
      <c r="C648" s="168"/>
      <c r="D648" s="168"/>
      <c r="E648" s="168"/>
      <c r="F648" s="168"/>
      <c r="G648" s="168"/>
      <c r="H648" s="168"/>
      <c r="I648" s="168"/>
      <c r="J648" s="168"/>
      <c r="K648" s="168"/>
      <c r="L648" s="168"/>
      <c r="M648" s="168"/>
      <c r="P648" s="168"/>
      <c r="Q648" s="168"/>
    </row>
    <row r="649">
      <c r="A649" s="168"/>
      <c r="B649" s="168"/>
      <c r="C649" s="168"/>
      <c r="D649" s="168"/>
      <c r="E649" s="168"/>
      <c r="F649" s="168"/>
      <c r="G649" s="168"/>
      <c r="H649" s="168"/>
      <c r="I649" s="168"/>
      <c r="J649" s="168"/>
      <c r="K649" s="168"/>
      <c r="L649" s="168"/>
      <c r="M649" s="168"/>
      <c r="P649" s="168"/>
      <c r="Q649" s="168"/>
    </row>
    <row r="650">
      <c r="A650" s="168"/>
      <c r="B650" s="168"/>
      <c r="C650" s="168"/>
      <c r="D650" s="168"/>
      <c r="E650" s="168"/>
      <c r="F650" s="168"/>
      <c r="G650" s="168"/>
      <c r="H650" s="168"/>
      <c r="I650" s="168"/>
      <c r="J650" s="168"/>
      <c r="K650" s="168"/>
      <c r="L650" s="168"/>
      <c r="M650" s="168"/>
      <c r="P650" s="168"/>
      <c r="Q650" s="168"/>
    </row>
    <row r="651">
      <c r="A651" s="168"/>
      <c r="B651" s="168"/>
      <c r="C651" s="168"/>
      <c r="D651" s="168"/>
      <c r="E651" s="168"/>
      <c r="F651" s="168"/>
      <c r="G651" s="168"/>
      <c r="H651" s="168"/>
      <c r="I651" s="168"/>
      <c r="J651" s="168"/>
      <c r="K651" s="168"/>
      <c r="L651" s="168"/>
      <c r="M651" s="168"/>
      <c r="P651" s="168"/>
      <c r="Q651" s="168"/>
    </row>
    <row r="652">
      <c r="A652" s="168"/>
      <c r="B652" s="168"/>
      <c r="C652" s="168"/>
      <c r="D652" s="168"/>
      <c r="E652" s="168"/>
      <c r="F652" s="168"/>
      <c r="G652" s="168"/>
      <c r="H652" s="168"/>
      <c r="I652" s="168"/>
      <c r="J652" s="168"/>
      <c r="K652" s="168"/>
      <c r="L652" s="168"/>
      <c r="M652" s="168"/>
      <c r="P652" s="168"/>
      <c r="Q652" s="168"/>
    </row>
    <row r="653">
      <c r="A653" s="168"/>
      <c r="B653" s="168"/>
      <c r="C653" s="168"/>
      <c r="D653" s="168"/>
      <c r="E653" s="168"/>
      <c r="F653" s="168"/>
      <c r="G653" s="168"/>
      <c r="H653" s="168"/>
      <c r="I653" s="168"/>
      <c r="J653" s="168"/>
      <c r="K653" s="168"/>
      <c r="L653" s="168"/>
      <c r="M653" s="168"/>
      <c r="P653" s="168"/>
      <c r="Q653" s="168"/>
    </row>
    <row r="654">
      <c r="A654" s="168"/>
      <c r="B654" s="168"/>
      <c r="C654" s="168"/>
      <c r="D654" s="168"/>
      <c r="E654" s="168"/>
      <c r="F654" s="168"/>
      <c r="G654" s="168"/>
      <c r="H654" s="168"/>
      <c r="I654" s="168"/>
      <c r="J654" s="168"/>
      <c r="K654" s="168"/>
      <c r="L654" s="168"/>
      <c r="M654" s="168"/>
      <c r="P654" s="168"/>
      <c r="Q654" s="168"/>
    </row>
    <row r="655">
      <c r="A655" s="168"/>
      <c r="B655" s="168"/>
      <c r="C655" s="168"/>
      <c r="D655" s="168"/>
      <c r="E655" s="168"/>
      <c r="F655" s="168"/>
      <c r="G655" s="168"/>
      <c r="H655" s="168"/>
      <c r="I655" s="168"/>
      <c r="J655" s="168"/>
      <c r="K655" s="168"/>
      <c r="L655" s="168"/>
      <c r="M655" s="168"/>
      <c r="P655" s="168"/>
      <c r="Q655" s="168"/>
    </row>
    <row r="656">
      <c r="A656" s="168"/>
      <c r="B656" s="168"/>
      <c r="C656" s="168"/>
      <c r="D656" s="168"/>
      <c r="E656" s="168"/>
      <c r="F656" s="168"/>
      <c r="G656" s="168"/>
      <c r="H656" s="168"/>
      <c r="I656" s="168"/>
      <c r="J656" s="168"/>
      <c r="K656" s="168"/>
      <c r="L656" s="168"/>
      <c r="M656" s="168"/>
      <c r="P656" s="168"/>
      <c r="Q656" s="168"/>
    </row>
    <row r="657">
      <c r="A657" s="168"/>
      <c r="B657" s="168"/>
      <c r="C657" s="168"/>
      <c r="D657" s="168"/>
      <c r="E657" s="168"/>
      <c r="F657" s="168"/>
      <c r="G657" s="168"/>
      <c r="H657" s="168"/>
      <c r="I657" s="168"/>
      <c r="J657" s="168"/>
      <c r="K657" s="168"/>
      <c r="L657" s="168"/>
      <c r="M657" s="168"/>
      <c r="P657" s="168"/>
      <c r="Q657" s="168"/>
    </row>
    <row r="658">
      <c r="A658" s="168"/>
      <c r="B658" s="168"/>
      <c r="C658" s="168"/>
      <c r="D658" s="168"/>
      <c r="E658" s="168"/>
      <c r="F658" s="168"/>
      <c r="G658" s="168"/>
      <c r="H658" s="168"/>
      <c r="I658" s="168"/>
      <c r="J658" s="168"/>
      <c r="K658" s="168"/>
      <c r="L658" s="168"/>
      <c r="M658" s="168"/>
      <c r="P658" s="168"/>
      <c r="Q658" s="168"/>
    </row>
    <row r="659">
      <c r="A659" s="168"/>
      <c r="B659" s="168"/>
      <c r="C659" s="168"/>
      <c r="D659" s="168"/>
      <c r="E659" s="168"/>
      <c r="F659" s="168"/>
      <c r="G659" s="168"/>
      <c r="H659" s="168"/>
      <c r="I659" s="168"/>
      <c r="J659" s="168"/>
      <c r="K659" s="168"/>
      <c r="L659" s="168"/>
      <c r="M659" s="168"/>
      <c r="P659" s="168"/>
      <c r="Q659" s="168"/>
    </row>
    <row r="660">
      <c r="A660" s="168"/>
      <c r="B660" s="168"/>
      <c r="C660" s="168"/>
      <c r="D660" s="168"/>
      <c r="E660" s="168"/>
      <c r="F660" s="168"/>
      <c r="G660" s="168"/>
      <c r="H660" s="168"/>
      <c r="I660" s="168"/>
      <c r="J660" s="168"/>
      <c r="K660" s="168"/>
      <c r="L660" s="168"/>
      <c r="M660" s="168"/>
      <c r="P660" s="168"/>
      <c r="Q660" s="168"/>
    </row>
    <row r="661">
      <c r="A661" s="168"/>
      <c r="B661" s="168"/>
      <c r="C661" s="168"/>
      <c r="D661" s="168"/>
      <c r="E661" s="168"/>
      <c r="F661" s="168"/>
      <c r="G661" s="168"/>
      <c r="H661" s="168"/>
      <c r="I661" s="168"/>
      <c r="J661" s="168"/>
      <c r="K661" s="168"/>
      <c r="L661" s="168"/>
      <c r="M661" s="168"/>
      <c r="P661" s="168"/>
      <c r="Q661" s="168"/>
    </row>
    <row r="662">
      <c r="A662" s="168"/>
      <c r="B662" s="168"/>
      <c r="C662" s="168"/>
      <c r="D662" s="168"/>
      <c r="E662" s="168"/>
      <c r="F662" s="168"/>
      <c r="G662" s="168"/>
      <c r="H662" s="168"/>
      <c r="I662" s="168"/>
      <c r="J662" s="168"/>
      <c r="K662" s="168"/>
      <c r="L662" s="168"/>
      <c r="M662" s="168"/>
      <c r="P662" s="168"/>
      <c r="Q662" s="168"/>
    </row>
    <row r="663">
      <c r="A663" s="168"/>
      <c r="B663" s="168"/>
      <c r="C663" s="168"/>
      <c r="D663" s="168"/>
      <c r="E663" s="168"/>
      <c r="F663" s="168"/>
      <c r="G663" s="168"/>
      <c r="H663" s="168"/>
      <c r="I663" s="168"/>
      <c r="J663" s="168"/>
      <c r="K663" s="168"/>
      <c r="L663" s="168"/>
      <c r="M663" s="168"/>
      <c r="P663" s="168"/>
      <c r="Q663" s="168"/>
    </row>
    <row r="664">
      <c r="A664" s="168"/>
      <c r="B664" s="168"/>
      <c r="C664" s="168"/>
      <c r="D664" s="168"/>
      <c r="E664" s="168"/>
      <c r="F664" s="168"/>
      <c r="G664" s="168"/>
      <c r="H664" s="168"/>
      <c r="I664" s="168"/>
      <c r="J664" s="168"/>
      <c r="K664" s="168"/>
      <c r="L664" s="168"/>
      <c r="M664" s="168"/>
      <c r="P664" s="168"/>
      <c r="Q664" s="168"/>
    </row>
    <row r="665">
      <c r="A665" s="168"/>
      <c r="B665" s="168"/>
      <c r="C665" s="168"/>
      <c r="D665" s="168"/>
      <c r="E665" s="168"/>
      <c r="F665" s="168"/>
      <c r="G665" s="168"/>
      <c r="H665" s="168"/>
      <c r="I665" s="168"/>
      <c r="J665" s="168"/>
      <c r="K665" s="168"/>
      <c r="L665" s="168"/>
      <c r="M665" s="168"/>
      <c r="P665" s="168"/>
      <c r="Q665" s="168"/>
    </row>
    <row r="666">
      <c r="A666" s="168"/>
      <c r="B666" s="168"/>
      <c r="C666" s="168"/>
      <c r="D666" s="168"/>
      <c r="E666" s="168"/>
      <c r="F666" s="168"/>
      <c r="G666" s="168"/>
      <c r="H666" s="168"/>
      <c r="I666" s="168"/>
      <c r="J666" s="168"/>
      <c r="K666" s="168"/>
      <c r="L666" s="168"/>
      <c r="M666" s="168"/>
      <c r="P666" s="168"/>
      <c r="Q666" s="168"/>
    </row>
    <row r="667">
      <c r="A667" s="168"/>
      <c r="B667" s="168"/>
      <c r="C667" s="168"/>
      <c r="D667" s="168"/>
      <c r="E667" s="168"/>
      <c r="F667" s="168"/>
      <c r="G667" s="168"/>
      <c r="H667" s="168"/>
      <c r="I667" s="168"/>
      <c r="J667" s="168"/>
      <c r="K667" s="168"/>
      <c r="L667" s="168"/>
      <c r="M667" s="168"/>
      <c r="P667" s="168"/>
      <c r="Q667" s="168"/>
    </row>
    <row r="668">
      <c r="A668" s="168"/>
      <c r="B668" s="168"/>
      <c r="C668" s="168"/>
      <c r="D668" s="168"/>
      <c r="E668" s="168"/>
      <c r="F668" s="168"/>
      <c r="G668" s="168"/>
      <c r="H668" s="168"/>
      <c r="I668" s="168"/>
      <c r="J668" s="168"/>
      <c r="K668" s="168"/>
      <c r="L668" s="168"/>
      <c r="M668" s="168"/>
      <c r="P668" s="168"/>
      <c r="Q668" s="168"/>
    </row>
    <row r="669">
      <c r="A669" s="168"/>
      <c r="B669" s="168"/>
      <c r="C669" s="168"/>
      <c r="D669" s="168"/>
      <c r="E669" s="168"/>
      <c r="F669" s="168"/>
      <c r="G669" s="168"/>
      <c r="H669" s="168"/>
      <c r="I669" s="168"/>
      <c r="J669" s="168"/>
      <c r="K669" s="168"/>
      <c r="L669" s="168"/>
      <c r="M669" s="168"/>
      <c r="P669" s="168"/>
      <c r="Q669" s="168"/>
    </row>
    <row r="670">
      <c r="A670" s="168"/>
      <c r="B670" s="168"/>
      <c r="C670" s="168"/>
      <c r="D670" s="168"/>
      <c r="E670" s="168"/>
      <c r="F670" s="168"/>
      <c r="G670" s="168"/>
      <c r="H670" s="168"/>
      <c r="I670" s="168"/>
      <c r="J670" s="168"/>
      <c r="K670" s="168"/>
      <c r="L670" s="168"/>
      <c r="M670" s="168"/>
      <c r="P670" s="168"/>
      <c r="Q670" s="168"/>
    </row>
    <row r="671">
      <c r="A671" s="168"/>
      <c r="B671" s="168"/>
      <c r="C671" s="168"/>
      <c r="D671" s="168"/>
      <c r="E671" s="168"/>
      <c r="F671" s="168"/>
      <c r="G671" s="168"/>
      <c r="H671" s="168"/>
      <c r="I671" s="168"/>
      <c r="J671" s="168"/>
      <c r="K671" s="168"/>
      <c r="L671" s="168"/>
      <c r="M671" s="168"/>
      <c r="P671" s="168"/>
      <c r="Q671" s="168"/>
    </row>
    <row r="672">
      <c r="A672" s="168"/>
      <c r="B672" s="168"/>
      <c r="C672" s="168"/>
      <c r="D672" s="168"/>
      <c r="E672" s="168"/>
      <c r="F672" s="168"/>
      <c r="G672" s="168"/>
      <c r="H672" s="168"/>
      <c r="I672" s="168"/>
      <c r="J672" s="168"/>
      <c r="K672" s="168"/>
      <c r="L672" s="168"/>
      <c r="M672" s="168"/>
      <c r="P672" s="168"/>
      <c r="Q672" s="168"/>
    </row>
    <row r="673">
      <c r="A673" s="168"/>
      <c r="B673" s="168"/>
      <c r="C673" s="168"/>
      <c r="D673" s="168"/>
      <c r="E673" s="168"/>
      <c r="F673" s="168"/>
      <c r="G673" s="168"/>
      <c r="H673" s="168"/>
      <c r="I673" s="168"/>
      <c r="J673" s="168"/>
      <c r="K673" s="168"/>
      <c r="L673" s="168"/>
      <c r="M673" s="168"/>
      <c r="P673" s="168"/>
      <c r="Q673" s="168"/>
    </row>
    <row r="674">
      <c r="A674" s="168"/>
      <c r="B674" s="168"/>
      <c r="C674" s="168"/>
      <c r="D674" s="168"/>
      <c r="E674" s="168"/>
      <c r="F674" s="168"/>
      <c r="G674" s="168"/>
      <c r="H674" s="168"/>
      <c r="I674" s="168"/>
      <c r="J674" s="168"/>
      <c r="K674" s="168"/>
      <c r="L674" s="168"/>
      <c r="M674" s="168"/>
      <c r="P674" s="168"/>
      <c r="Q674" s="168"/>
    </row>
    <row r="675">
      <c r="A675" s="168"/>
      <c r="B675" s="168"/>
      <c r="C675" s="168"/>
      <c r="D675" s="168"/>
      <c r="E675" s="168"/>
      <c r="F675" s="168"/>
      <c r="G675" s="168"/>
      <c r="H675" s="168"/>
      <c r="I675" s="168"/>
      <c r="J675" s="168"/>
      <c r="K675" s="168"/>
      <c r="L675" s="168"/>
      <c r="M675" s="168"/>
      <c r="P675" s="168"/>
      <c r="Q675" s="168"/>
    </row>
    <row r="676">
      <c r="A676" s="168"/>
      <c r="B676" s="168"/>
      <c r="C676" s="168"/>
      <c r="D676" s="168"/>
      <c r="E676" s="168"/>
      <c r="F676" s="168"/>
      <c r="G676" s="168"/>
      <c r="H676" s="168"/>
      <c r="I676" s="168"/>
      <c r="J676" s="168"/>
      <c r="K676" s="168"/>
      <c r="L676" s="168"/>
      <c r="M676" s="168"/>
      <c r="P676" s="168"/>
      <c r="Q676" s="168"/>
    </row>
    <row r="677">
      <c r="A677" s="168"/>
      <c r="B677" s="168"/>
      <c r="C677" s="168"/>
      <c r="D677" s="168"/>
      <c r="E677" s="168"/>
      <c r="F677" s="168"/>
      <c r="G677" s="168"/>
      <c r="H677" s="168"/>
      <c r="I677" s="168"/>
      <c r="J677" s="168"/>
      <c r="K677" s="168"/>
      <c r="L677" s="168"/>
      <c r="M677" s="168"/>
      <c r="P677" s="168"/>
      <c r="Q677" s="168"/>
    </row>
    <row r="678">
      <c r="A678" s="168"/>
      <c r="B678" s="168"/>
      <c r="C678" s="168"/>
      <c r="D678" s="168"/>
      <c r="E678" s="168"/>
      <c r="F678" s="168"/>
      <c r="G678" s="168"/>
      <c r="H678" s="168"/>
      <c r="I678" s="168"/>
      <c r="J678" s="168"/>
      <c r="K678" s="168"/>
      <c r="L678" s="168"/>
      <c r="M678" s="168"/>
      <c r="P678" s="168"/>
      <c r="Q678" s="168"/>
    </row>
    <row r="679">
      <c r="A679" s="168"/>
      <c r="B679" s="168"/>
      <c r="C679" s="168"/>
      <c r="D679" s="168"/>
      <c r="E679" s="168"/>
      <c r="F679" s="168"/>
      <c r="G679" s="168"/>
      <c r="H679" s="168"/>
      <c r="I679" s="168"/>
      <c r="J679" s="168"/>
      <c r="K679" s="168"/>
      <c r="L679" s="168"/>
      <c r="M679" s="168"/>
      <c r="P679" s="168"/>
      <c r="Q679" s="168"/>
    </row>
    <row r="680">
      <c r="A680" s="168"/>
      <c r="B680" s="168"/>
      <c r="C680" s="168"/>
      <c r="D680" s="168"/>
      <c r="E680" s="168"/>
      <c r="F680" s="168"/>
      <c r="G680" s="168"/>
      <c r="H680" s="168"/>
      <c r="I680" s="168"/>
      <c r="J680" s="168"/>
      <c r="K680" s="168"/>
      <c r="L680" s="168"/>
      <c r="M680" s="168"/>
      <c r="P680" s="168"/>
      <c r="Q680" s="168"/>
    </row>
    <row r="681">
      <c r="A681" s="168"/>
      <c r="B681" s="168"/>
      <c r="C681" s="168"/>
      <c r="D681" s="168"/>
      <c r="E681" s="168"/>
      <c r="F681" s="168"/>
      <c r="G681" s="168"/>
      <c r="H681" s="168"/>
      <c r="I681" s="168"/>
      <c r="J681" s="168"/>
      <c r="K681" s="168"/>
      <c r="L681" s="168"/>
      <c r="M681" s="168"/>
      <c r="P681" s="168"/>
      <c r="Q681" s="168"/>
    </row>
    <row r="682">
      <c r="A682" s="168"/>
      <c r="B682" s="168"/>
      <c r="C682" s="168"/>
      <c r="D682" s="168"/>
      <c r="E682" s="168"/>
      <c r="F682" s="168"/>
      <c r="G682" s="168"/>
      <c r="H682" s="168"/>
      <c r="I682" s="168"/>
      <c r="J682" s="168"/>
      <c r="K682" s="168"/>
      <c r="L682" s="168"/>
      <c r="M682" s="168"/>
      <c r="P682" s="168"/>
      <c r="Q682" s="168"/>
    </row>
    <row r="683">
      <c r="A683" s="168"/>
      <c r="B683" s="168"/>
      <c r="C683" s="168"/>
      <c r="D683" s="168"/>
      <c r="E683" s="168"/>
      <c r="F683" s="168"/>
      <c r="G683" s="168"/>
      <c r="H683" s="168"/>
      <c r="I683" s="168"/>
      <c r="J683" s="168"/>
      <c r="K683" s="168"/>
      <c r="L683" s="168"/>
      <c r="M683" s="168"/>
      <c r="P683" s="168"/>
      <c r="Q683" s="168"/>
    </row>
    <row r="684">
      <c r="A684" s="168"/>
      <c r="B684" s="168"/>
      <c r="C684" s="168"/>
      <c r="D684" s="168"/>
      <c r="E684" s="168"/>
      <c r="F684" s="168"/>
      <c r="G684" s="168"/>
      <c r="H684" s="168"/>
      <c r="I684" s="168"/>
      <c r="J684" s="168"/>
      <c r="K684" s="168"/>
      <c r="L684" s="168"/>
      <c r="M684" s="168"/>
      <c r="P684" s="168"/>
      <c r="Q684" s="168"/>
    </row>
    <row r="685">
      <c r="A685" s="168"/>
      <c r="B685" s="168"/>
      <c r="C685" s="168"/>
      <c r="D685" s="168"/>
      <c r="E685" s="168"/>
      <c r="F685" s="168"/>
      <c r="G685" s="168"/>
      <c r="H685" s="168"/>
      <c r="I685" s="168"/>
      <c r="J685" s="168"/>
      <c r="K685" s="168"/>
      <c r="L685" s="168"/>
      <c r="M685" s="168"/>
      <c r="P685" s="168"/>
      <c r="Q685" s="168"/>
    </row>
    <row r="686">
      <c r="A686" s="168"/>
      <c r="B686" s="168"/>
      <c r="C686" s="168"/>
      <c r="D686" s="168"/>
      <c r="E686" s="168"/>
      <c r="F686" s="168"/>
      <c r="G686" s="168"/>
      <c r="H686" s="168"/>
      <c r="I686" s="168"/>
      <c r="J686" s="168"/>
      <c r="K686" s="168"/>
      <c r="L686" s="168"/>
      <c r="M686" s="168"/>
      <c r="P686" s="168"/>
      <c r="Q686" s="168"/>
    </row>
    <row r="687">
      <c r="A687" s="168"/>
      <c r="B687" s="168"/>
      <c r="C687" s="168"/>
      <c r="D687" s="168"/>
      <c r="E687" s="168"/>
      <c r="F687" s="168"/>
      <c r="G687" s="168"/>
      <c r="H687" s="168"/>
      <c r="I687" s="168"/>
      <c r="J687" s="168"/>
      <c r="K687" s="168"/>
      <c r="L687" s="168"/>
      <c r="M687" s="168"/>
      <c r="P687" s="168"/>
      <c r="Q687" s="168"/>
    </row>
    <row r="688">
      <c r="A688" s="168"/>
      <c r="B688" s="168"/>
      <c r="C688" s="168"/>
      <c r="D688" s="168"/>
      <c r="E688" s="168"/>
      <c r="F688" s="168"/>
      <c r="G688" s="168"/>
      <c r="H688" s="168"/>
      <c r="I688" s="168"/>
      <c r="J688" s="168"/>
      <c r="K688" s="168"/>
      <c r="L688" s="168"/>
      <c r="M688" s="168"/>
      <c r="P688" s="168"/>
      <c r="Q688" s="168"/>
    </row>
    <row r="689">
      <c r="A689" s="168"/>
      <c r="B689" s="168"/>
      <c r="C689" s="168"/>
      <c r="D689" s="168"/>
      <c r="E689" s="168"/>
      <c r="F689" s="168"/>
      <c r="G689" s="168"/>
      <c r="H689" s="168"/>
      <c r="I689" s="168"/>
      <c r="J689" s="168"/>
      <c r="K689" s="168"/>
      <c r="L689" s="168"/>
      <c r="M689" s="168"/>
      <c r="P689" s="168"/>
      <c r="Q689" s="168"/>
    </row>
    <row r="690">
      <c r="A690" s="168"/>
      <c r="B690" s="168"/>
      <c r="C690" s="168"/>
      <c r="D690" s="168"/>
      <c r="E690" s="168"/>
      <c r="F690" s="168"/>
      <c r="G690" s="168"/>
      <c r="H690" s="168"/>
      <c r="I690" s="168"/>
      <c r="J690" s="168"/>
      <c r="K690" s="168"/>
      <c r="L690" s="168"/>
      <c r="M690" s="168"/>
      <c r="P690" s="168"/>
      <c r="Q690" s="168"/>
    </row>
    <row r="691">
      <c r="A691" s="168"/>
      <c r="B691" s="168"/>
      <c r="C691" s="168"/>
      <c r="D691" s="168"/>
      <c r="E691" s="168"/>
      <c r="F691" s="168"/>
      <c r="G691" s="168"/>
      <c r="H691" s="168"/>
      <c r="I691" s="168"/>
      <c r="J691" s="168"/>
      <c r="K691" s="168"/>
      <c r="L691" s="168"/>
      <c r="M691" s="168"/>
      <c r="P691" s="168"/>
      <c r="Q691" s="168"/>
    </row>
    <row r="692">
      <c r="A692" s="168"/>
      <c r="B692" s="168"/>
      <c r="C692" s="168"/>
      <c r="D692" s="168"/>
      <c r="E692" s="168"/>
      <c r="F692" s="168"/>
      <c r="G692" s="168"/>
      <c r="H692" s="168"/>
      <c r="I692" s="168"/>
      <c r="J692" s="168"/>
      <c r="K692" s="168"/>
      <c r="L692" s="168"/>
      <c r="M692" s="168"/>
      <c r="P692" s="168"/>
      <c r="Q692" s="168"/>
    </row>
    <row r="693">
      <c r="A693" s="168"/>
      <c r="B693" s="168"/>
      <c r="C693" s="168"/>
      <c r="D693" s="168"/>
      <c r="E693" s="168"/>
      <c r="F693" s="168"/>
      <c r="G693" s="168"/>
      <c r="H693" s="168"/>
      <c r="I693" s="168"/>
      <c r="J693" s="168"/>
      <c r="K693" s="168"/>
      <c r="L693" s="168"/>
      <c r="M693" s="168"/>
      <c r="P693" s="168"/>
      <c r="Q693" s="168"/>
    </row>
    <row r="694">
      <c r="A694" s="168"/>
      <c r="B694" s="168"/>
      <c r="C694" s="168"/>
      <c r="D694" s="168"/>
      <c r="E694" s="168"/>
      <c r="F694" s="168"/>
      <c r="G694" s="168"/>
      <c r="H694" s="168"/>
      <c r="I694" s="168"/>
      <c r="J694" s="168"/>
      <c r="K694" s="168"/>
      <c r="L694" s="168"/>
      <c r="M694" s="168"/>
      <c r="P694" s="168"/>
      <c r="Q694" s="168"/>
    </row>
    <row r="695">
      <c r="A695" s="168"/>
      <c r="B695" s="168"/>
      <c r="C695" s="168"/>
      <c r="D695" s="168"/>
      <c r="E695" s="168"/>
      <c r="F695" s="168"/>
      <c r="G695" s="168"/>
      <c r="H695" s="168"/>
      <c r="I695" s="168"/>
      <c r="J695" s="168"/>
      <c r="K695" s="168"/>
      <c r="L695" s="168"/>
      <c r="M695" s="168"/>
      <c r="P695" s="168"/>
      <c r="Q695" s="168"/>
    </row>
    <row r="696">
      <c r="A696" s="168"/>
      <c r="B696" s="168"/>
      <c r="C696" s="168"/>
      <c r="D696" s="168"/>
      <c r="E696" s="168"/>
      <c r="F696" s="168"/>
      <c r="G696" s="168"/>
      <c r="H696" s="168"/>
      <c r="I696" s="168"/>
      <c r="J696" s="168"/>
      <c r="K696" s="168"/>
      <c r="L696" s="168"/>
      <c r="M696" s="168"/>
      <c r="P696" s="168"/>
      <c r="Q696" s="168"/>
    </row>
    <row r="697">
      <c r="A697" s="168"/>
      <c r="B697" s="168"/>
      <c r="C697" s="168"/>
      <c r="D697" s="168"/>
      <c r="E697" s="168"/>
      <c r="F697" s="168"/>
      <c r="G697" s="168"/>
      <c r="H697" s="168"/>
      <c r="I697" s="168"/>
      <c r="J697" s="168"/>
      <c r="K697" s="168"/>
      <c r="L697" s="168"/>
      <c r="M697" s="168"/>
      <c r="P697" s="168"/>
      <c r="Q697" s="168"/>
    </row>
    <row r="698">
      <c r="A698" s="168"/>
      <c r="B698" s="168"/>
      <c r="C698" s="168"/>
      <c r="D698" s="168"/>
      <c r="E698" s="168"/>
      <c r="F698" s="168"/>
      <c r="G698" s="168"/>
      <c r="H698" s="168"/>
      <c r="I698" s="168"/>
      <c r="J698" s="168"/>
      <c r="K698" s="168"/>
      <c r="L698" s="168"/>
      <c r="M698" s="168"/>
      <c r="P698" s="168"/>
      <c r="Q698" s="168"/>
    </row>
    <row r="699">
      <c r="A699" s="168"/>
      <c r="B699" s="168"/>
      <c r="C699" s="168"/>
      <c r="D699" s="168"/>
      <c r="E699" s="168"/>
      <c r="F699" s="168"/>
      <c r="G699" s="168"/>
      <c r="H699" s="168"/>
      <c r="I699" s="168"/>
      <c r="J699" s="168"/>
      <c r="K699" s="168"/>
      <c r="L699" s="168"/>
      <c r="M699" s="168"/>
      <c r="P699" s="168"/>
      <c r="Q699" s="168"/>
    </row>
    <row r="700">
      <c r="A700" s="168"/>
      <c r="B700" s="168"/>
      <c r="C700" s="168"/>
      <c r="D700" s="168"/>
      <c r="E700" s="168"/>
      <c r="F700" s="168"/>
      <c r="G700" s="168"/>
      <c r="H700" s="168"/>
      <c r="I700" s="168"/>
      <c r="J700" s="168"/>
      <c r="K700" s="168"/>
      <c r="L700" s="168"/>
      <c r="M700" s="168"/>
      <c r="P700" s="168"/>
      <c r="Q700" s="168"/>
    </row>
    <row r="701">
      <c r="A701" s="168"/>
      <c r="B701" s="168"/>
      <c r="C701" s="168"/>
      <c r="D701" s="168"/>
      <c r="E701" s="168"/>
      <c r="F701" s="168"/>
      <c r="G701" s="168"/>
      <c r="H701" s="168"/>
      <c r="I701" s="168"/>
      <c r="J701" s="168"/>
      <c r="K701" s="168"/>
      <c r="L701" s="168"/>
      <c r="M701" s="168"/>
      <c r="P701" s="168"/>
      <c r="Q701" s="168"/>
    </row>
    <row r="702">
      <c r="A702" s="168"/>
      <c r="B702" s="168"/>
      <c r="C702" s="168"/>
      <c r="D702" s="168"/>
      <c r="E702" s="168"/>
      <c r="F702" s="168"/>
      <c r="G702" s="168"/>
      <c r="H702" s="168"/>
      <c r="I702" s="168"/>
      <c r="J702" s="168"/>
      <c r="K702" s="168"/>
      <c r="L702" s="168"/>
      <c r="M702" s="168"/>
      <c r="P702" s="168"/>
      <c r="Q702" s="168"/>
    </row>
    <row r="703">
      <c r="A703" s="168"/>
      <c r="B703" s="168"/>
      <c r="C703" s="168"/>
      <c r="D703" s="168"/>
      <c r="E703" s="168"/>
      <c r="F703" s="168"/>
      <c r="G703" s="168"/>
      <c r="H703" s="168"/>
      <c r="I703" s="168"/>
      <c r="J703" s="168"/>
      <c r="K703" s="168"/>
      <c r="L703" s="168"/>
      <c r="M703" s="168"/>
      <c r="P703" s="168"/>
      <c r="Q703" s="168"/>
    </row>
    <row r="704">
      <c r="A704" s="168"/>
      <c r="B704" s="168"/>
      <c r="C704" s="168"/>
      <c r="D704" s="168"/>
      <c r="E704" s="168"/>
      <c r="F704" s="168"/>
      <c r="G704" s="168"/>
      <c r="H704" s="168"/>
      <c r="I704" s="168"/>
      <c r="J704" s="168"/>
      <c r="K704" s="168"/>
      <c r="L704" s="168"/>
      <c r="M704" s="168"/>
      <c r="P704" s="168"/>
      <c r="Q704" s="168"/>
    </row>
    <row r="705">
      <c r="A705" s="168"/>
      <c r="B705" s="168"/>
      <c r="C705" s="168"/>
      <c r="D705" s="168"/>
      <c r="E705" s="168"/>
      <c r="F705" s="168"/>
      <c r="G705" s="168"/>
      <c r="H705" s="168"/>
      <c r="I705" s="168"/>
      <c r="J705" s="168"/>
      <c r="K705" s="168"/>
      <c r="L705" s="168"/>
      <c r="M705" s="168"/>
      <c r="P705" s="168"/>
      <c r="Q705" s="168"/>
    </row>
    <row r="706">
      <c r="A706" s="168"/>
      <c r="B706" s="168"/>
      <c r="C706" s="168"/>
      <c r="D706" s="168"/>
      <c r="E706" s="168"/>
      <c r="F706" s="168"/>
      <c r="G706" s="168"/>
      <c r="H706" s="168"/>
      <c r="I706" s="168"/>
      <c r="J706" s="168"/>
      <c r="K706" s="168"/>
      <c r="L706" s="168"/>
      <c r="M706" s="168"/>
      <c r="P706" s="168"/>
      <c r="Q706" s="168"/>
    </row>
    <row r="707">
      <c r="A707" s="168"/>
      <c r="B707" s="168"/>
      <c r="C707" s="168"/>
      <c r="D707" s="168"/>
      <c r="E707" s="168"/>
      <c r="F707" s="168"/>
      <c r="G707" s="168"/>
      <c r="H707" s="168"/>
      <c r="I707" s="168"/>
      <c r="J707" s="168"/>
      <c r="K707" s="168"/>
      <c r="L707" s="168"/>
      <c r="M707" s="168"/>
      <c r="P707" s="168"/>
      <c r="Q707" s="168"/>
    </row>
    <row r="708">
      <c r="A708" s="168"/>
      <c r="B708" s="168"/>
      <c r="C708" s="168"/>
      <c r="D708" s="168"/>
      <c r="E708" s="168"/>
      <c r="F708" s="168"/>
      <c r="G708" s="168"/>
      <c r="H708" s="168"/>
      <c r="I708" s="168"/>
      <c r="J708" s="168"/>
      <c r="K708" s="168"/>
      <c r="L708" s="168"/>
      <c r="M708" s="168"/>
      <c r="P708" s="168"/>
      <c r="Q708" s="168"/>
    </row>
    <row r="709">
      <c r="A709" s="168"/>
      <c r="B709" s="168"/>
      <c r="C709" s="168"/>
      <c r="D709" s="168"/>
      <c r="E709" s="168"/>
      <c r="F709" s="168"/>
      <c r="G709" s="168"/>
      <c r="H709" s="168"/>
      <c r="I709" s="168"/>
      <c r="J709" s="168"/>
      <c r="K709" s="168"/>
      <c r="L709" s="168"/>
      <c r="M709" s="168"/>
      <c r="P709" s="168"/>
      <c r="Q709" s="168"/>
    </row>
    <row r="710">
      <c r="A710" s="168"/>
      <c r="B710" s="168"/>
      <c r="C710" s="168"/>
      <c r="D710" s="168"/>
      <c r="E710" s="168"/>
      <c r="F710" s="168"/>
      <c r="G710" s="168"/>
      <c r="H710" s="168"/>
      <c r="I710" s="168"/>
      <c r="J710" s="168"/>
      <c r="K710" s="168"/>
      <c r="L710" s="168"/>
      <c r="M710" s="168"/>
      <c r="P710" s="168"/>
      <c r="Q710" s="168"/>
    </row>
    <row r="711">
      <c r="A711" s="168"/>
      <c r="B711" s="168"/>
      <c r="C711" s="168"/>
      <c r="D711" s="168"/>
      <c r="E711" s="168"/>
      <c r="F711" s="168"/>
      <c r="G711" s="168"/>
      <c r="H711" s="168"/>
      <c r="I711" s="168"/>
      <c r="J711" s="168"/>
      <c r="K711" s="168"/>
      <c r="L711" s="168"/>
      <c r="M711" s="168"/>
      <c r="P711" s="168"/>
      <c r="Q711" s="168"/>
    </row>
    <row r="712">
      <c r="A712" s="168"/>
      <c r="B712" s="168"/>
      <c r="C712" s="168"/>
      <c r="D712" s="168"/>
      <c r="E712" s="168"/>
      <c r="F712" s="168"/>
      <c r="G712" s="168"/>
      <c r="H712" s="168"/>
      <c r="I712" s="168"/>
      <c r="J712" s="168"/>
      <c r="K712" s="168"/>
      <c r="L712" s="168"/>
      <c r="M712" s="168"/>
      <c r="P712" s="168"/>
      <c r="Q712" s="168"/>
    </row>
    <row r="713">
      <c r="A713" s="168"/>
      <c r="B713" s="168"/>
      <c r="C713" s="168"/>
      <c r="D713" s="168"/>
      <c r="E713" s="168"/>
      <c r="F713" s="168"/>
      <c r="G713" s="168"/>
      <c r="H713" s="168"/>
      <c r="I713" s="168"/>
      <c r="J713" s="168"/>
      <c r="K713" s="168"/>
      <c r="L713" s="168"/>
      <c r="M713" s="168"/>
      <c r="P713" s="168"/>
      <c r="Q713" s="168"/>
    </row>
    <row r="714">
      <c r="A714" s="168"/>
      <c r="B714" s="168"/>
      <c r="C714" s="168"/>
      <c r="D714" s="168"/>
      <c r="E714" s="168"/>
      <c r="F714" s="168"/>
      <c r="G714" s="168"/>
      <c r="H714" s="168"/>
      <c r="I714" s="168"/>
      <c r="J714" s="168"/>
      <c r="K714" s="168"/>
      <c r="L714" s="168"/>
      <c r="M714" s="168"/>
      <c r="P714" s="168"/>
      <c r="Q714" s="168"/>
    </row>
    <row r="715">
      <c r="A715" s="168"/>
      <c r="B715" s="168"/>
      <c r="C715" s="168"/>
      <c r="D715" s="168"/>
      <c r="E715" s="168"/>
      <c r="F715" s="168"/>
      <c r="G715" s="168"/>
      <c r="H715" s="168"/>
      <c r="I715" s="168"/>
      <c r="J715" s="168"/>
      <c r="K715" s="168"/>
      <c r="L715" s="168"/>
      <c r="M715" s="168"/>
      <c r="P715" s="168"/>
      <c r="Q715" s="168"/>
    </row>
    <row r="716">
      <c r="A716" s="168"/>
      <c r="B716" s="168"/>
      <c r="C716" s="168"/>
      <c r="D716" s="168"/>
      <c r="E716" s="168"/>
      <c r="F716" s="168"/>
      <c r="G716" s="168"/>
      <c r="H716" s="168"/>
      <c r="I716" s="168"/>
      <c r="J716" s="168"/>
      <c r="K716" s="168"/>
      <c r="L716" s="168"/>
      <c r="M716" s="168"/>
      <c r="P716" s="168"/>
      <c r="Q716" s="168"/>
    </row>
    <row r="717">
      <c r="A717" s="168"/>
      <c r="B717" s="168"/>
      <c r="C717" s="168"/>
      <c r="D717" s="168"/>
      <c r="E717" s="168"/>
      <c r="F717" s="168"/>
      <c r="G717" s="168"/>
      <c r="H717" s="168"/>
      <c r="I717" s="168"/>
      <c r="J717" s="168"/>
      <c r="K717" s="168"/>
      <c r="L717" s="168"/>
      <c r="M717" s="168"/>
      <c r="P717" s="168"/>
      <c r="Q717" s="168"/>
    </row>
    <row r="718">
      <c r="A718" s="168"/>
      <c r="B718" s="168"/>
      <c r="C718" s="168"/>
      <c r="D718" s="168"/>
      <c r="E718" s="168"/>
      <c r="F718" s="168"/>
      <c r="G718" s="168"/>
      <c r="H718" s="168"/>
      <c r="I718" s="168"/>
      <c r="J718" s="168"/>
      <c r="K718" s="168"/>
      <c r="L718" s="168"/>
      <c r="M718" s="168"/>
      <c r="P718" s="168"/>
      <c r="Q718" s="168"/>
    </row>
    <row r="719">
      <c r="A719" s="168"/>
      <c r="B719" s="168"/>
      <c r="C719" s="168"/>
      <c r="D719" s="168"/>
      <c r="E719" s="168"/>
      <c r="F719" s="168"/>
      <c r="G719" s="168"/>
      <c r="H719" s="168"/>
      <c r="I719" s="168"/>
      <c r="J719" s="168"/>
      <c r="K719" s="168"/>
      <c r="L719" s="168"/>
      <c r="M719" s="168"/>
      <c r="P719" s="168"/>
      <c r="Q719" s="168"/>
    </row>
    <row r="720">
      <c r="A720" s="168"/>
      <c r="B720" s="168"/>
      <c r="C720" s="168"/>
      <c r="D720" s="168"/>
      <c r="E720" s="168"/>
      <c r="F720" s="168"/>
      <c r="G720" s="168"/>
      <c r="H720" s="168"/>
      <c r="I720" s="168"/>
      <c r="J720" s="168"/>
      <c r="K720" s="168"/>
      <c r="L720" s="168"/>
      <c r="M720" s="168"/>
      <c r="P720" s="168"/>
      <c r="Q720" s="168"/>
    </row>
    <row r="721">
      <c r="A721" s="168"/>
      <c r="B721" s="168"/>
      <c r="C721" s="168"/>
      <c r="D721" s="168"/>
      <c r="E721" s="168"/>
      <c r="F721" s="168"/>
      <c r="G721" s="168"/>
      <c r="H721" s="168"/>
      <c r="I721" s="168"/>
      <c r="J721" s="168"/>
      <c r="K721" s="168"/>
      <c r="L721" s="168"/>
      <c r="M721" s="168"/>
      <c r="P721" s="168"/>
      <c r="Q721" s="168"/>
    </row>
    <row r="722">
      <c r="A722" s="168"/>
      <c r="B722" s="168"/>
      <c r="C722" s="168"/>
      <c r="D722" s="168"/>
      <c r="E722" s="168"/>
      <c r="F722" s="168"/>
      <c r="G722" s="168"/>
      <c r="H722" s="168"/>
      <c r="I722" s="168"/>
      <c r="J722" s="168"/>
      <c r="K722" s="168"/>
      <c r="L722" s="168"/>
      <c r="M722" s="168"/>
      <c r="P722" s="168"/>
      <c r="Q722" s="168"/>
    </row>
    <row r="723">
      <c r="A723" s="168"/>
      <c r="B723" s="168"/>
      <c r="C723" s="168"/>
      <c r="D723" s="168"/>
      <c r="E723" s="168"/>
      <c r="F723" s="168"/>
      <c r="G723" s="168"/>
      <c r="H723" s="168"/>
      <c r="I723" s="168"/>
      <c r="J723" s="168"/>
      <c r="K723" s="168"/>
      <c r="L723" s="168"/>
      <c r="M723" s="168"/>
      <c r="P723" s="168"/>
      <c r="Q723" s="168"/>
    </row>
    <row r="724">
      <c r="A724" s="168"/>
      <c r="B724" s="168"/>
      <c r="C724" s="168"/>
      <c r="D724" s="168"/>
      <c r="E724" s="168"/>
      <c r="F724" s="168"/>
      <c r="G724" s="168"/>
      <c r="H724" s="168"/>
      <c r="I724" s="168"/>
      <c r="J724" s="168"/>
      <c r="K724" s="168"/>
      <c r="L724" s="168"/>
      <c r="M724" s="168"/>
      <c r="P724" s="168"/>
      <c r="Q724" s="168"/>
    </row>
    <row r="725">
      <c r="A725" s="168"/>
      <c r="B725" s="168"/>
      <c r="C725" s="168"/>
      <c r="D725" s="168"/>
      <c r="E725" s="168"/>
      <c r="F725" s="168"/>
      <c r="G725" s="168"/>
      <c r="H725" s="168"/>
      <c r="I725" s="168"/>
      <c r="J725" s="168"/>
      <c r="K725" s="168"/>
      <c r="L725" s="168"/>
      <c r="M725" s="168"/>
      <c r="P725" s="168"/>
      <c r="Q725" s="168"/>
    </row>
    <row r="726">
      <c r="A726" s="168"/>
      <c r="B726" s="168"/>
      <c r="C726" s="168"/>
      <c r="D726" s="168"/>
      <c r="E726" s="168"/>
      <c r="F726" s="168"/>
      <c r="G726" s="168"/>
      <c r="H726" s="168"/>
      <c r="I726" s="168"/>
      <c r="J726" s="168"/>
      <c r="K726" s="168"/>
      <c r="L726" s="168"/>
      <c r="M726" s="168"/>
      <c r="P726" s="168"/>
      <c r="Q726" s="168"/>
    </row>
    <row r="727">
      <c r="A727" s="168"/>
      <c r="B727" s="168"/>
      <c r="C727" s="168"/>
      <c r="D727" s="168"/>
      <c r="E727" s="168"/>
      <c r="F727" s="168"/>
      <c r="G727" s="168"/>
      <c r="H727" s="168"/>
      <c r="I727" s="168"/>
      <c r="J727" s="168"/>
      <c r="K727" s="168"/>
      <c r="L727" s="168"/>
      <c r="M727" s="168"/>
      <c r="P727" s="168"/>
      <c r="Q727" s="168"/>
    </row>
    <row r="728">
      <c r="A728" s="168"/>
      <c r="B728" s="168"/>
      <c r="C728" s="168"/>
      <c r="D728" s="168"/>
      <c r="E728" s="168"/>
      <c r="F728" s="168"/>
      <c r="G728" s="168"/>
      <c r="H728" s="168"/>
      <c r="I728" s="168"/>
      <c r="J728" s="168"/>
      <c r="K728" s="168"/>
      <c r="L728" s="168"/>
      <c r="M728" s="168"/>
      <c r="P728" s="168"/>
      <c r="Q728" s="168"/>
    </row>
    <row r="729">
      <c r="A729" s="168"/>
      <c r="B729" s="168"/>
      <c r="C729" s="168"/>
      <c r="D729" s="168"/>
      <c r="E729" s="168"/>
      <c r="F729" s="168"/>
      <c r="G729" s="168"/>
      <c r="H729" s="168"/>
      <c r="I729" s="168"/>
      <c r="J729" s="168"/>
      <c r="K729" s="168"/>
      <c r="L729" s="168"/>
      <c r="M729" s="168"/>
      <c r="P729" s="168"/>
      <c r="Q729" s="168"/>
    </row>
    <row r="730">
      <c r="A730" s="168"/>
      <c r="B730" s="168"/>
      <c r="C730" s="168"/>
      <c r="D730" s="168"/>
      <c r="E730" s="168"/>
      <c r="F730" s="168"/>
      <c r="G730" s="168"/>
      <c r="H730" s="168"/>
      <c r="I730" s="168"/>
      <c r="J730" s="168"/>
      <c r="K730" s="168"/>
      <c r="L730" s="168"/>
      <c r="M730" s="168"/>
      <c r="P730" s="168"/>
      <c r="Q730" s="168"/>
    </row>
    <row r="731">
      <c r="A731" s="168"/>
      <c r="B731" s="168"/>
      <c r="C731" s="168"/>
      <c r="D731" s="168"/>
      <c r="E731" s="168"/>
      <c r="F731" s="168"/>
      <c r="G731" s="168"/>
      <c r="H731" s="168"/>
      <c r="I731" s="168"/>
      <c r="J731" s="168"/>
      <c r="K731" s="168"/>
      <c r="L731" s="168"/>
      <c r="M731" s="168"/>
      <c r="P731" s="168"/>
      <c r="Q731" s="168"/>
    </row>
    <row r="732">
      <c r="A732" s="168"/>
      <c r="B732" s="168"/>
      <c r="C732" s="168"/>
      <c r="D732" s="168"/>
      <c r="E732" s="168"/>
      <c r="F732" s="168"/>
      <c r="G732" s="168"/>
      <c r="H732" s="168"/>
      <c r="I732" s="168"/>
      <c r="J732" s="168"/>
      <c r="K732" s="168"/>
      <c r="L732" s="168"/>
      <c r="M732" s="168"/>
      <c r="P732" s="168"/>
      <c r="Q732" s="168"/>
    </row>
    <row r="733">
      <c r="A733" s="168"/>
      <c r="B733" s="168"/>
      <c r="C733" s="168"/>
      <c r="D733" s="168"/>
      <c r="E733" s="168"/>
      <c r="F733" s="168"/>
      <c r="G733" s="168"/>
      <c r="H733" s="168"/>
      <c r="I733" s="168"/>
      <c r="J733" s="168"/>
      <c r="K733" s="168"/>
      <c r="L733" s="168"/>
      <c r="M733" s="168"/>
      <c r="P733" s="168"/>
      <c r="Q733" s="168"/>
    </row>
    <row r="734">
      <c r="A734" s="168"/>
      <c r="B734" s="168"/>
      <c r="C734" s="168"/>
      <c r="D734" s="168"/>
      <c r="E734" s="168"/>
      <c r="F734" s="168"/>
      <c r="G734" s="168"/>
      <c r="H734" s="168"/>
      <c r="I734" s="168"/>
      <c r="J734" s="168"/>
      <c r="K734" s="168"/>
      <c r="L734" s="168"/>
      <c r="M734" s="168"/>
      <c r="P734" s="168"/>
      <c r="Q734" s="168"/>
    </row>
    <row r="735">
      <c r="A735" s="168"/>
      <c r="B735" s="168"/>
      <c r="C735" s="168"/>
      <c r="D735" s="168"/>
      <c r="E735" s="168"/>
      <c r="F735" s="168"/>
      <c r="G735" s="168"/>
      <c r="H735" s="168"/>
      <c r="I735" s="168"/>
      <c r="J735" s="168"/>
      <c r="K735" s="168"/>
      <c r="L735" s="168"/>
      <c r="M735" s="168"/>
      <c r="P735" s="168"/>
      <c r="Q735" s="168"/>
    </row>
    <row r="736">
      <c r="A736" s="168"/>
      <c r="B736" s="168"/>
      <c r="C736" s="168"/>
      <c r="D736" s="168"/>
      <c r="E736" s="168"/>
      <c r="F736" s="168"/>
      <c r="G736" s="168"/>
      <c r="H736" s="168"/>
      <c r="I736" s="168"/>
      <c r="J736" s="168"/>
      <c r="K736" s="168"/>
      <c r="L736" s="168"/>
      <c r="M736" s="168"/>
      <c r="P736" s="168"/>
      <c r="Q736" s="168"/>
    </row>
    <row r="737">
      <c r="A737" s="168"/>
      <c r="B737" s="168"/>
      <c r="C737" s="168"/>
      <c r="D737" s="168"/>
      <c r="E737" s="168"/>
      <c r="F737" s="168"/>
      <c r="G737" s="168"/>
      <c r="H737" s="168"/>
      <c r="I737" s="168"/>
      <c r="J737" s="168"/>
      <c r="K737" s="168"/>
      <c r="L737" s="168"/>
      <c r="M737" s="168"/>
      <c r="P737" s="168"/>
      <c r="Q737" s="168"/>
    </row>
    <row r="738">
      <c r="A738" s="168"/>
      <c r="B738" s="168"/>
      <c r="C738" s="168"/>
      <c r="D738" s="168"/>
      <c r="E738" s="168"/>
      <c r="F738" s="168"/>
      <c r="G738" s="168"/>
      <c r="H738" s="168"/>
      <c r="I738" s="168"/>
      <c r="J738" s="168"/>
      <c r="K738" s="168"/>
      <c r="L738" s="168"/>
      <c r="M738" s="168"/>
      <c r="P738" s="168"/>
      <c r="Q738" s="168"/>
    </row>
    <row r="739">
      <c r="A739" s="168"/>
      <c r="B739" s="168"/>
      <c r="C739" s="168"/>
      <c r="D739" s="168"/>
      <c r="E739" s="168"/>
      <c r="F739" s="168"/>
      <c r="G739" s="168"/>
      <c r="H739" s="168"/>
      <c r="I739" s="168"/>
      <c r="J739" s="168"/>
      <c r="K739" s="168"/>
      <c r="L739" s="168"/>
      <c r="M739" s="168"/>
      <c r="P739" s="168"/>
      <c r="Q739" s="168"/>
    </row>
    <row r="740">
      <c r="A740" s="168"/>
      <c r="B740" s="168"/>
      <c r="C740" s="168"/>
      <c r="D740" s="168"/>
      <c r="E740" s="168"/>
      <c r="F740" s="168"/>
      <c r="G740" s="168"/>
      <c r="H740" s="168"/>
      <c r="I740" s="168"/>
      <c r="J740" s="168"/>
      <c r="K740" s="168"/>
      <c r="L740" s="168"/>
      <c r="M740" s="168"/>
      <c r="P740" s="168"/>
      <c r="Q740" s="168"/>
    </row>
    <row r="741">
      <c r="A741" s="168"/>
      <c r="B741" s="168"/>
      <c r="C741" s="168"/>
      <c r="D741" s="168"/>
      <c r="E741" s="168"/>
      <c r="F741" s="168"/>
      <c r="G741" s="168"/>
      <c r="H741" s="168"/>
      <c r="I741" s="168"/>
      <c r="J741" s="168"/>
      <c r="K741" s="168"/>
      <c r="L741" s="168"/>
      <c r="M741" s="168"/>
      <c r="P741" s="168"/>
      <c r="Q741" s="168"/>
    </row>
    <row r="742">
      <c r="A742" s="168"/>
      <c r="B742" s="168"/>
      <c r="C742" s="168"/>
      <c r="D742" s="168"/>
      <c r="E742" s="168"/>
      <c r="F742" s="168"/>
      <c r="G742" s="168"/>
      <c r="H742" s="168"/>
      <c r="I742" s="168"/>
      <c r="J742" s="168"/>
      <c r="K742" s="168"/>
      <c r="L742" s="168"/>
      <c r="M742" s="168"/>
      <c r="P742" s="168"/>
      <c r="Q742" s="168"/>
    </row>
    <row r="743">
      <c r="A743" s="168"/>
      <c r="B743" s="168"/>
      <c r="C743" s="168"/>
      <c r="D743" s="168"/>
      <c r="E743" s="168"/>
      <c r="F743" s="168"/>
      <c r="G743" s="168"/>
      <c r="H743" s="168"/>
      <c r="I743" s="168"/>
      <c r="J743" s="168"/>
      <c r="K743" s="168"/>
      <c r="L743" s="168"/>
      <c r="M743" s="168"/>
      <c r="P743" s="168"/>
      <c r="Q743" s="168"/>
    </row>
    <row r="744">
      <c r="A744" s="168"/>
      <c r="B744" s="168"/>
      <c r="C744" s="168"/>
      <c r="D744" s="168"/>
      <c r="E744" s="168"/>
      <c r="F744" s="168"/>
      <c r="G744" s="168"/>
      <c r="H744" s="168"/>
      <c r="I744" s="168"/>
      <c r="J744" s="168"/>
      <c r="K744" s="168"/>
      <c r="L744" s="168"/>
      <c r="M744" s="168"/>
      <c r="P744" s="168"/>
      <c r="Q744" s="168"/>
    </row>
    <row r="745">
      <c r="A745" s="168"/>
      <c r="B745" s="168"/>
      <c r="C745" s="168"/>
      <c r="D745" s="168"/>
      <c r="E745" s="168"/>
      <c r="F745" s="168"/>
      <c r="G745" s="168"/>
      <c r="H745" s="168"/>
      <c r="I745" s="168"/>
      <c r="J745" s="168"/>
      <c r="K745" s="168"/>
      <c r="L745" s="168"/>
      <c r="M745" s="168"/>
      <c r="P745" s="168"/>
      <c r="Q745" s="168"/>
    </row>
    <row r="746">
      <c r="A746" s="168"/>
      <c r="B746" s="168"/>
      <c r="C746" s="168"/>
      <c r="D746" s="168"/>
      <c r="E746" s="168"/>
      <c r="F746" s="168"/>
      <c r="G746" s="168"/>
      <c r="H746" s="168"/>
      <c r="I746" s="168"/>
      <c r="J746" s="168"/>
      <c r="K746" s="168"/>
      <c r="L746" s="168"/>
      <c r="M746" s="168"/>
      <c r="P746" s="168"/>
      <c r="Q746" s="168"/>
    </row>
    <row r="747">
      <c r="A747" s="168"/>
      <c r="B747" s="168"/>
      <c r="C747" s="168"/>
      <c r="D747" s="168"/>
      <c r="E747" s="168"/>
      <c r="F747" s="168"/>
      <c r="G747" s="168"/>
      <c r="H747" s="168"/>
      <c r="I747" s="168"/>
      <c r="J747" s="168"/>
      <c r="K747" s="168"/>
      <c r="L747" s="168"/>
      <c r="M747" s="168"/>
      <c r="P747" s="168"/>
      <c r="Q747" s="168"/>
    </row>
    <row r="748">
      <c r="A748" s="168"/>
      <c r="B748" s="168"/>
      <c r="C748" s="168"/>
      <c r="D748" s="168"/>
      <c r="E748" s="168"/>
      <c r="F748" s="168"/>
      <c r="G748" s="168"/>
      <c r="H748" s="168"/>
      <c r="I748" s="168"/>
      <c r="J748" s="168"/>
      <c r="K748" s="168"/>
      <c r="L748" s="168"/>
      <c r="M748" s="168"/>
      <c r="P748" s="168"/>
      <c r="Q748" s="168"/>
    </row>
    <row r="749">
      <c r="A749" s="168"/>
      <c r="B749" s="168"/>
      <c r="C749" s="168"/>
      <c r="D749" s="168"/>
      <c r="E749" s="168"/>
      <c r="F749" s="168"/>
      <c r="G749" s="168"/>
      <c r="H749" s="168"/>
      <c r="I749" s="168"/>
      <c r="J749" s="168"/>
      <c r="K749" s="168"/>
      <c r="L749" s="168"/>
      <c r="M749" s="168"/>
      <c r="P749" s="168"/>
      <c r="Q749" s="168"/>
    </row>
    <row r="750">
      <c r="A750" s="168"/>
      <c r="B750" s="168"/>
      <c r="C750" s="168"/>
      <c r="D750" s="168"/>
      <c r="E750" s="168"/>
      <c r="F750" s="168"/>
      <c r="G750" s="168"/>
      <c r="H750" s="168"/>
      <c r="I750" s="168"/>
      <c r="J750" s="168"/>
      <c r="K750" s="168"/>
      <c r="L750" s="168"/>
      <c r="M750" s="168"/>
      <c r="P750" s="168"/>
      <c r="Q750" s="168"/>
    </row>
    <row r="751">
      <c r="A751" s="168"/>
      <c r="B751" s="168"/>
      <c r="C751" s="168"/>
      <c r="D751" s="168"/>
      <c r="E751" s="168"/>
      <c r="F751" s="168"/>
      <c r="G751" s="168"/>
      <c r="H751" s="168"/>
      <c r="I751" s="168"/>
      <c r="J751" s="168"/>
      <c r="K751" s="168"/>
      <c r="L751" s="168"/>
      <c r="M751" s="168"/>
      <c r="P751" s="168"/>
      <c r="Q751" s="168"/>
    </row>
    <row r="752">
      <c r="A752" s="168"/>
      <c r="B752" s="168"/>
      <c r="C752" s="168"/>
      <c r="D752" s="168"/>
      <c r="E752" s="168"/>
      <c r="F752" s="168"/>
      <c r="G752" s="168"/>
      <c r="H752" s="168"/>
      <c r="I752" s="168"/>
      <c r="J752" s="168"/>
      <c r="K752" s="168"/>
      <c r="L752" s="168"/>
      <c r="M752" s="168"/>
      <c r="P752" s="168"/>
      <c r="Q752" s="168"/>
    </row>
    <row r="753">
      <c r="A753" s="168"/>
      <c r="B753" s="168"/>
      <c r="C753" s="168"/>
      <c r="D753" s="168"/>
      <c r="E753" s="168"/>
      <c r="F753" s="168"/>
      <c r="G753" s="168"/>
      <c r="H753" s="168"/>
      <c r="I753" s="168"/>
      <c r="J753" s="168"/>
      <c r="K753" s="168"/>
      <c r="L753" s="168"/>
      <c r="M753" s="168"/>
      <c r="P753" s="168"/>
      <c r="Q753" s="168"/>
    </row>
    <row r="754">
      <c r="A754" s="168"/>
      <c r="B754" s="168"/>
      <c r="C754" s="168"/>
      <c r="D754" s="168"/>
      <c r="E754" s="168"/>
      <c r="F754" s="168"/>
      <c r="G754" s="168"/>
      <c r="H754" s="168"/>
      <c r="I754" s="168"/>
      <c r="J754" s="168"/>
      <c r="K754" s="168"/>
      <c r="L754" s="168"/>
      <c r="M754" s="168"/>
      <c r="P754" s="168"/>
      <c r="Q754" s="168"/>
    </row>
    <row r="755">
      <c r="A755" s="168"/>
      <c r="B755" s="168"/>
      <c r="C755" s="168"/>
      <c r="D755" s="168"/>
      <c r="E755" s="168"/>
      <c r="F755" s="168"/>
      <c r="G755" s="168"/>
      <c r="H755" s="168"/>
      <c r="I755" s="168"/>
      <c r="J755" s="168"/>
      <c r="K755" s="168"/>
      <c r="L755" s="168"/>
      <c r="M755" s="168"/>
      <c r="P755" s="168"/>
      <c r="Q755" s="168"/>
    </row>
    <row r="756">
      <c r="A756" s="168"/>
      <c r="B756" s="168"/>
      <c r="C756" s="168"/>
      <c r="D756" s="168"/>
      <c r="E756" s="168"/>
      <c r="F756" s="168"/>
      <c r="G756" s="168"/>
      <c r="H756" s="168"/>
      <c r="I756" s="168"/>
      <c r="J756" s="168"/>
      <c r="K756" s="168"/>
      <c r="L756" s="168"/>
      <c r="M756" s="168"/>
      <c r="P756" s="168"/>
      <c r="Q756" s="168"/>
    </row>
    <row r="757">
      <c r="A757" s="168"/>
      <c r="B757" s="168"/>
      <c r="C757" s="168"/>
      <c r="D757" s="168"/>
      <c r="E757" s="168"/>
      <c r="F757" s="168"/>
      <c r="G757" s="168"/>
      <c r="H757" s="168"/>
      <c r="I757" s="168"/>
      <c r="J757" s="168"/>
      <c r="K757" s="168"/>
      <c r="L757" s="168"/>
      <c r="M757" s="168"/>
      <c r="P757" s="168"/>
      <c r="Q757" s="168"/>
    </row>
    <row r="758">
      <c r="A758" s="168"/>
      <c r="B758" s="168"/>
      <c r="C758" s="168"/>
      <c r="D758" s="168"/>
      <c r="E758" s="168"/>
      <c r="F758" s="168"/>
      <c r="G758" s="168"/>
      <c r="H758" s="168"/>
      <c r="I758" s="168"/>
      <c r="J758" s="168"/>
      <c r="K758" s="168"/>
      <c r="L758" s="168"/>
      <c r="M758" s="168"/>
      <c r="P758" s="168"/>
      <c r="Q758" s="168"/>
    </row>
    <row r="759">
      <c r="A759" s="168"/>
      <c r="B759" s="168"/>
      <c r="C759" s="168"/>
      <c r="D759" s="168"/>
      <c r="E759" s="168"/>
      <c r="F759" s="168"/>
      <c r="G759" s="168"/>
      <c r="H759" s="168"/>
      <c r="I759" s="168"/>
      <c r="J759" s="168"/>
      <c r="K759" s="168"/>
      <c r="L759" s="168"/>
      <c r="M759" s="168"/>
      <c r="P759" s="168"/>
      <c r="Q759" s="168"/>
    </row>
    <row r="760">
      <c r="A760" s="168"/>
      <c r="B760" s="168"/>
      <c r="C760" s="168"/>
      <c r="D760" s="168"/>
      <c r="E760" s="168"/>
      <c r="F760" s="168"/>
      <c r="G760" s="168"/>
      <c r="H760" s="168"/>
      <c r="I760" s="168"/>
      <c r="J760" s="168"/>
      <c r="K760" s="168"/>
      <c r="L760" s="168"/>
      <c r="M760" s="168"/>
      <c r="P760" s="168"/>
      <c r="Q760" s="168"/>
    </row>
    <row r="761">
      <c r="A761" s="168"/>
      <c r="B761" s="168"/>
      <c r="C761" s="168"/>
      <c r="D761" s="168"/>
      <c r="E761" s="168"/>
      <c r="F761" s="168"/>
      <c r="G761" s="168"/>
      <c r="H761" s="168"/>
      <c r="I761" s="168"/>
      <c r="J761" s="168"/>
      <c r="K761" s="168"/>
      <c r="L761" s="168"/>
      <c r="M761" s="168"/>
      <c r="P761" s="168"/>
      <c r="Q761" s="168"/>
    </row>
    <row r="762">
      <c r="A762" s="168"/>
      <c r="B762" s="168"/>
      <c r="C762" s="168"/>
      <c r="D762" s="168"/>
      <c r="E762" s="168"/>
      <c r="F762" s="168"/>
      <c r="G762" s="168"/>
      <c r="H762" s="168"/>
      <c r="I762" s="168"/>
      <c r="J762" s="168"/>
      <c r="K762" s="168"/>
      <c r="L762" s="168"/>
      <c r="M762" s="168"/>
      <c r="P762" s="168"/>
      <c r="Q762" s="168"/>
    </row>
    <row r="763">
      <c r="A763" s="168"/>
      <c r="B763" s="168"/>
      <c r="C763" s="168"/>
      <c r="D763" s="168"/>
      <c r="E763" s="168"/>
      <c r="F763" s="168"/>
      <c r="G763" s="168"/>
      <c r="H763" s="168"/>
      <c r="I763" s="168"/>
      <c r="J763" s="168"/>
      <c r="K763" s="168"/>
      <c r="L763" s="168"/>
      <c r="M763" s="168"/>
      <c r="P763" s="168"/>
      <c r="Q763" s="168"/>
    </row>
    <row r="764">
      <c r="A764" s="168"/>
      <c r="B764" s="168"/>
      <c r="C764" s="168"/>
      <c r="D764" s="168"/>
      <c r="E764" s="168"/>
      <c r="F764" s="168"/>
      <c r="G764" s="168"/>
      <c r="H764" s="168"/>
      <c r="I764" s="168"/>
      <c r="J764" s="168"/>
      <c r="K764" s="168"/>
      <c r="L764" s="168"/>
      <c r="M764" s="168"/>
      <c r="P764" s="168"/>
      <c r="Q764" s="168"/>
    </row>
    <row r="765">
      <c r="A765" s="168"/>
      <c r="B765" s="168"/>
      <c r="C765" s="168"/>
      <c r="D765" s="168"/>
      <c r="E765" s="168"/>
      <c r="F765" s="168"/>
      <c r="G765" s="168"/>
      <c r="H765" s="168"/>
      <c r="I765" s="168"/>
      <c r="J765" s="168"/>
      <c r="K765" s="168"/>
      <c r="L765" s="168"/>
      <c r="M765" s="168"/>
      <c r="P765" s="168"/>
      <c r="Q765" s="168"/>
    </row>
    <row r="766">
      <c r="A766" s="168"/>
      <c r="B766" s="168"/>
      <c r="C766" s="168"/>
      <c r="D766" s="168"/>
      <c r="E766" s="168"/>
      <c r="F766" s="168"/>
      <c r="G766" s="168"/>
      <c r="H766" s="168"/>
      <c r="I766" s="168"/>
      <c r="J766" s="168"/>
      <c r="K766" s="168"/>
      <c r="L766" s="168"/>
      <c r="M766" s="168"/>
      <c r="P766" s="168"/>
      <c r="Q766" s="168"/>
    </row>
    <row r="767">
      <c r="A767" s="168"/>
      <c r="B767" s="168"/>
      <c r="C767" s="168"/>
      <c r="D767" s="168"/>
      <c r="E767" s="168"/>
      <c r="F767" s="168"/>
      <c r="G767" s="168"/>
      <c r="H767" s="168"/>
      <c r="I767" s="168"/>
      <c r="J767" s="168"/>
      <c r="K767" s="168"/>
      <c r="L767" s="168"/>
      <c r="M767" s="168"/>
      <c r="P767" s="168"/>
      <c r="Q767" s="168"/>
    </row>
    <row r="768">
      <c r="A768" s="168"/>
      <c r="B768" s="168"/>
      <c r="C768" s="168"/>
      <c r="D768" s="168"/>
      <c r="E768" s="168"/>
      <c r="F768" s="168"/>
      <c r="G768" s="168"/>
      <c r="H768" s="168"/>
      <c r="I768" s="168"/>
      <c r="J768" s="168"/>
      <c r="K768" s="168"/>
      <c r="L768" s="168"/>
      <c r="M768" s="168"/>
      <c r="P768" s="168"/>
      <c r="Q768" s="168"/>
    </row>
    <row r="769">
      <c r="A769" s="168"/>
      <c r="B769" s="168"/>
      <c r="C769" s="168"/>
      <c r="D769" s="168"/>
      <c r="E769" s="168"/>
      <c r="F769" s="168"/>
      <c r="G769" s="168"/>
      <c r="H769" s="168"/>
      <c r="I769" s="168"/>
      <c r="J769" s="168"/>
      <c r="K769" s="168"/>
      <c r="L769" s="168"/>
      <c r="M769" s="168"/>
      <c r="P769" s="168"/>
      <c r="Q769" s="168"/>
    </row>
    <row r="770">
      <c r="A770" s="168"/>
      <c r="B770" s="168"/>
      <c r="C770" s="168"/>
      <c r="D770" s="168"/>
      <c r="E770" s="168"/>
      <c r="F770" s="168"/>
      <c r="G770" s="168"/>
      <c r="H770" s="168"/>
      <c r="I770" s="168"/>
      <c r="J770" s="168"/>
      <c r="K770" s="168"/>
      <c r="L770" s="168"/>
      <c r="M770" s="168"/>
      <c r="P770" s="168"/>
      <c r="Q770" s="168"/>
    </row>
    <row r="771">
      <c r="A771" s="168"/>
      <c r="B771" s="168"/>
      <c r="C771" s="168"/>
      <c r="D771" s="168"/>
      <c r="E771" s="168"/>
      <c r="F771" s="168"/>
      <c r="G771" s="168"/>
      <c r="H771" s="168"/>
      <c r="I771" s="168"/>
      <c r="J771" s="168"/>
      <c r="K771" s="168"/>
      <c r="L771" s="168"/>
      <c r="M771" s="168"/>
      <c r="P771" s="168"/>
      <c r="Q771" s="168"/>
    </row>
    <row r="772">
      <c r="A772" s="168"/>
      <c r="B772" s="168"/>
      <c r="C772" s="168"/>
      <c r="D772" s="168"/>
      <c r="E772" s="168"/>
      <c r="F772" s="168"/>
      <c r="G772" s="168"/>
      <c r="H772" s="168"/>
      <c r="I772" s="168"/>
      <c r="J772" s="168"/>
      <c r="K772" s="168"/>
      <c r="L772" s="168"/>
      <c r="M772" s="168"/>
      <c r="P772" s="168"/>
      <c r="Q772" s="168"/>
    </row>
    <row r="773">
      <c r="A773" s="168"/>
      <c r="B773" s="168"/>
      <c r="C773" s="168"/>
      <c r="D773" s="168"/>
      <c r="E773" s="168"/>
      <c r="F773" s="168"/>
      <c r="G773" s="168"/>
      <c r="H773" s="168"/>
      <c r="I773" s="168"/>
      <c r="J773" s="168"/>
      <c r="K773" s="168"/>
      <c r="L773" s="168"/>
      <c r="M773" s="168"/>
      <c r="P773" s="168"/>
      <c r="Q773" s="168"/>
    </row>
    <row r="774">
      <c r="A774" s="168"/>
      <c r="B774" s="168"/>
      <c r="C774" s="168"/>
      <c r="D774" s="168"/>
      <c r="E774" s="168"/>
      <c r="F774" s="168"/>
      <c r="G774" s="168"/>
      <c r="H774" s="168"/>
      <c r="I774" s="168"/>
      <c r="J774" s="168"/>
      <c r="K774" s="168"/>
      <c r="L774" s="168"/>
      <c r="M774" s="168"/>
      <c r="P774" s="168"/>
      <c r="Q774" s="168"/>
    </row>
    <row r="775">
      <c r="A775" s="168"/>
      <c r="B775" s="168"/>
      <c r="C775" s="168"/>
      <c r="D775" s="168"/>
      <c r="E775" s="168"/>
      <c r="F775" s="168"/>
      <c r="G775" s="168"/>
      <c r="H775" s="168"/>
      <c r="I775" s="168"/>
      <c r="J775" s="168"/>
      <c r="K775" s="168"/>
      <c r="L775" s="168"/>
      <c r="M775" s="168"/>
      <c r="P775" s="168"/>
      <c r="Q775" s="168"/>
    </row>
    <row r="776">
      <c r="A776" s="168"/>
      <c r="B776" s="168"/>
      <c r="C776" s="168"/>
      <c r="D776" s="168"/>
      <c r="E776" s="168"/>
      <c r="F776" s="168"/>
      <c r="G776" s="168"/>
      <c r="H776" s="168"/>
      <c r="I776" s="168"/>
      <c r="J776" s="168"/>
      <c r="K776" s="168"/>
      <c r="L776" s="168"/>
      <c r="M776" s="168"/>
      <c r="P776" s="168"/>
      <c r="Q776" s="168"/>
    </row>
    <row r="777">
      <c r="A777" s="168"/>
      <c r="B777" s="168"/>
      <c r="C777" s="168"/>
      <c r="D777" s="168"/>
      <c r="E777" s="168"/>
      <c r="F777" s="168"/>
      <c r="G777" s="168"/>
      <c r="H777" s="168"/>
      <c r="I777" s="168"/>
      <c r="J777" s="168"/>
      <c r="K777" s="168"/>
      <c r="L777" s="168"/>
      <c r="M777" s="168"/>
      <c r="P777" s="168"/>
      <c r="Q777" s="168"/>
    </row>
    <row r="778">
      <c r="A778" s="168"/>
      <c r="B778" s="168"/>
      <c r="C778" s="168"/>
      <c r="D778" s="168"/>
      <c r="E778" s="168"/>
      <c r="F778" s="168"/>
      <c r="G778" s="168"/>
      <c r="H778" s="168"/>
      <c r="I778" s="168"/>
      <c r="J778" s="168"/>
      <c r="K778" s="168"/>
      <c r="L778" s="168"/>
      <c r="M778" s="168"/>
      <c r="P778" s="168"/>
      <c r="Q778" s="168"/>
    </row>
    <row r="779">
      <c r="A779" s="168"/>
      <c r="B779" s="168"/>
      <c r="C779" s="168"/>
      <c r="D779" s="168"/>
      <c r="E779" s="168"/>
      <c r="F779" s="168"/>
      <c r="G779" s="168"/>
      <c r="H779" s="168"/>
      <c r="I779" s="168"/>
      <c r="J779" s="168"/>
      <c r="K779" s="168"/>
      <c r="L779" s="168"/>
      <c r="M779" s="168"/>
      <c r="P779" s="168"/>
      <c r="Q779" s="168"/>
    </row>
    <row r="780">
      <c r="A780" s="168"/>
      <c r="B780" s="168"/>
      <c r="C780" s="168"/>
      <c r="D780" s="168"/>
      <c r="E780" s="168"/>
      <c r="F780" s="168"/>
      <c r="G780" s="168"/>
      <c r="H780" s="168"/>
      <c r="I780" s="168"/>
      <c r="J780" s="168"/>
      <c r="K780" s="168"/>
      <c r="L780" s="168"/>
      <c r="M780" s="168"/>
      <c r="P780" s="168"/>
      <c r="Q780" s="168"/>
    </row>
    <row r="781">
      <c r="A781" s="168"/>
      <c r="B781" s="168"/>
      <c r="C781" s="168"/>
      <c r="D781" s="168"/>
      <c r="E781" s="168"/>
      <c r="F781" s="168"/>
      <c r="G781" s="168"/>
      <c r="H781" s="168"/>
      <c r="I781" s="168"/>
      <c r="J781" s="168"/>
      <c r="K781" s="168"/>
      <c r="L781" s="168"/>
      <c r="M781" s="168"/>
      <c r="P781" s="168"/>
      <c r="Q781" s="168"/>
    </row>
    <row r="782">
      <c r="A782" s="168"/>
      <c r="B782" s="168"/>
      <c r="C782" s="168"/>
      <c r="D782" s="168"/>
      <c r="E782" s="168"/>
      <c r="F782" s="168"/>
      <c r="G782" s="168"/>
      <c r="H782" s="168"/>
      <c r="I782" s="168"/>
      <c r="J782" s="168"/>
      <c r="K782" s="168"/>
      <c r="L782" s="168"/>
      <c r="M782" s="168"/>
      <c r="P782" s="168"/>
      <c r="Q782" s="168"/>
    </row>
    <row r="783">
      <c r="A783" s="168"/>
      <c r="B783" s="168"/>
      <c r="C783" s="168"/>
      <c r="D783" s="168"/>
      <c r="E783" s="168"/>
      <c r="F783" s="168"/>
      <c r="G783" s="168"/>
      <c r="H783" s="168"/>
      <c r="I783" s="168"/>
      <c r="J783" s="168"/>
      <c r="K783" s="168"/>
      <c r="L783" s="168"/>
      <c r="M783" s="168"/>
      <c r="P783" s="168"/>
      <c r="Q783" s="168"/>
    </row>
    <row r="784">
      <c r="A784" s="168"/>
      <c r="B784" s="168"/>
      <c r="C784" s="168"/>
      <c r="D784" s="168"/>
      <c r="E784" s="168"/>
      <c r="F784" s="168"/>
      <c r="G784" s="168"/>
      <c r="H784" s="168"/>
      <c r="I784" s="168"/>
      <c r="J784" s="168"/>
      <c r="K784" s="168"/>
      <c r="L784" s="168"/>
      <c r="M784" s="168"/>
      <c r="P784" s="168"/>
      <c r="Q784" s="168"/>
    </row>
    <row r="785">
      <c r="A785" s="168"/>
      <c r="B785" s="168"/>
      <c r="C785" s="168"/>
      <c r="D785" s="168"/>
      <c r="E785" s="168"/>
      <c r="F785" s="168"/>
      <c r="G785" s="168"/>
      <c r="H785" s="168"/>
      <c r="I785" s="168"/>
      <c r="J785" s="168"/>
      <c r="K785" s="168"/>
      <c r="L785" s="168"/>
      <c r="M785" s="168"/>
      <c r="P785" s="168"/>
      <c r="Q785" s="168"/>
    </row>
    <row r="786">
      <c r="A786" s="168"/>
      <c r="B786" s="168"/>
      <c r="C786" s="168"/>
      <c r="D786" s="168"/>
      <c r="E786" s="168"/>
      <c r="F786" s="168"/>
      <c r="G786" s="168"/>
      <c r="H786" s="168"/>
      <c r="I786" s="168"/>
      <c r="J786" s="168"/>
      <c r="K786" s="168"/>
      <c r="L786" s="168"/>
      <c r="M786" s="168"/>
      <c r="P786" s="168"/>
      <c r="Q786" s="168"/>
    </row>
    <row r="787">
      <c r="A787" s="168"/>
      <c r="B787" s="168"/>
      <c r="C787" s="168"/>
      <c r="D787" s="168"/>
      <c r="E787" s="168"/>
      <c r="F787" s="168"/>
      <c r="G787" s="168"/>
      <c r="H787" s="168"/>
      <c r="I787" s="168"/>
      <c r="J787" s="168"/>
      <c r="K787" s="168"/>
      <c r="L787" s="168"/>
      <c r="M787" s="168"/>
      <c r="P787" s="168"/>
      <c r="Q787" s="168"/>
    </row>
    <row r="788">
      <c r="A788" s="168"/>
      <c r="B788" s="168"/>
      <c r="C788" s="168"/>
      <c r="D788" s="168"/>
      <c r="E788" s="168"/>
      <c r="F788" s="168"/>
      <c r="G788" s="168"/>
      <c r="H788" s="168"/>
      <c r="I788" s="168"/>
      <c r="J788" s="168"/>
      <c r="K788" s="168"/>
      <c r="L788" s="168"/>
      <c r="M788" s="168"/>
      <c r="P788" s="168"/>
      <c r="Q788" s="168"/>
    </row>
    <row r="789">
      <c r="A789" s="168"/>
      <c r="B789" s="168"/>
      <c r="C789" s="168"/>
      <c r="D789" s="168"/>
      <c r="E789" s="168"/>
      <c r="F789" s="168"/>
      <c r="G789" s="168"/>
      <c r="H789" s="168"/>
      <c r="I789" s="168"/>
      <c r="J789" s="168"/>
      <c r="K789" s="168"/>
      <c r="L789" s="168"/>
      <c r="M789" s="168"/>
      <c r="P789" s="168"/>
      <c r="Q789" s="168"/>
    </row>
    <row r="790">
      <c r="A790" s="168"/>
      <c r="B790" s="168"/>
      <c r="C790" s="168"/>
      <c r="D790" s="168"/>
      <c r="E790" s="168"/>
      <c r="F790" s="168"/>
      <c r="G790" s="168"/>
      <c r="H790" s="168"/>
      <c r="I790" s="168"/>
      <c r="J790" s="168"/>
      <c r="K790" s="168"/>
      <c r="L790" s="168"/>
      <c r="M790" s="168"/>
      <c r="P790" s="168"/>
      <c r="Q790" s="168"/>
    </row>
    <row r="791">
      <c r="A791" s="168"/>
      <c r="B791" s="168"/>
      <c r="C791" s="168"/>
      <c r="D791" s="168"/>
      <c r="E791" s="168"/>
      <c r="F791" s="168"/>
      <c r="G791" s="168"/>
      <c r="H791" s="168"/>
      <c r="I791" s="168"/>
      <c r="J791" s="168"/>
      <c r="K791" s="168"/>
      <c r="L791" s="168"/>
      <c r="M791" s="168"/>
      <c r="P791" s="168"/>
      <c r="Q791" s="168"/>
    </row>
    <row r="792">
      <c r="A792" s="168"/>
      <c r="B792" s="168"/>
      <c r="C792" s="168"/>
      <c r="D792" s="168"/>
      <c r="E792" s="168"/>
      <c r="F792" s="168"/>
      <c r="G792" s="168"/>
      <c r="H792" s="168"/>
      <c r="I792" s="168"/>
      <c r="J792" s="168"/>
      <c r="K792" s="168"/>
      <c r="L792" s="168"/>
      <c r="M792" s="168"/>
      <c r="P792" s="168"/>
      <c r="Q792" s="168"/>
    </row>
    <row r="793">
      <c r="A793" s="168"/>
      <c r="B793" s="168"/>
      <c r="C793" s="168"/>
      <c r="D793" s="168"/>
      <c r="E793" s="168"/>
      <c r="F793" s="168"/>
      <c r="G793" s="168"/>
      <c r="H793" s="168"/>
      <c r="I793" s="168"/>
      <c r="J793" s="168"/>
      <c r="K793" s="168"/>
      <c r="L793" s="168"/>
      <c r="M793" s="168"/>
      <c r="P793" s="168"/>
      <c r="Q793" s="168"/>
    </row>
    <row r="794">
      <c r="A794" s="168"/>
      <c r="B794" s="168"/>
      <c r="C794" s="168"/>
      <c r="D794" s="168"/>
      <c r="E794" s="168"/>
      <c r="F794" s="168"/>
      <c r="G794" s="168"/>
      <c r="H794" s="168"/>
      <c r="I794" s="168"/>
      <c r="J794" s="168"/>
      <c r="K794" s="168"/>
      <c r="L794" s="168"/>
      <c r="M794" s="168"/>
      <c r="P794" s="168"/>
      <c r="Q794" s="168"/>
    </row>
    <row r="795">
      <c r="A795" s="168"/>
      <c r="B795" s="168"/>
      <c r="C795" s="168"/>
      <c r="D795" s="168"/>
      <c r="E795" s="168"/>
      <c r="F795" s="168"/>
      <c r="G795" s="168"/>
      <c r="H795" s="168"/>
      <c r="I795" s="168"/>
      <c r="J795" s="168"/>
      <c r="K795" s="168"/>
      <c r="L795" s="168"/>
      <c r="M795" s="168"/>
      <c r="P795" s="168"/>
      <c r="Q795" s="168"/>
    </row>
    <row r="796">
      <c r="A796" s="168"/>
      <c r="B796" s="168"/>
      <c r="C796" s="168"/>
      <c r="D796" s="168"/>
      <c r="E796" s="168"/>
      <c r="F796" s="168"/>
      <c r="G796" s="168"/>
      <c r="H796" s="168"/>
      <c r="I796" s="168"/>
      <c r="J796" s="168"/>
      <c r="K796" s="168"/>
      <c r="L796" s="168"/>
      <c r="M796" s="168"/>
      <c r="P796" s="168"/>
      <c r="Q796" s="168"/>
    </row>
    <row r="797">
      <c r="A797" s="168"/>
      <c r="B797" s="168"/>
      <c r="C797" s="168"/>
      <c r="D797" s="168"/>
      <c r="E797" s="168"/>
      <c r="F797" s="168"/>
      <c r="G797" s="168"/>
      <c r="H797" s="168"/>
      <c r="I797" s="168"/>
      <c r="J797" s="168"/>
      <c r="K797" s="168"/>
      <c r="L797" s="168"/>
      <c r="M797" s="168"/>
      <c r="P797" s="168"/>
      <c r="Q797" s="168"/>
    </row>
    <row r="798">
      <c r="A798" s="168"/>
      <c r="B798" s="168"/>
      <c r="C798" s="168"/>
      <c r="D798" s="168"/>
      <c r="E798" s="168"/>
      <c r="F798" s="168"/>
      <c r="G798" s="168"/>
      <c r="H798" s="168"/>
      <c r="I798" s="168"/>
      <c r="J798" s="168"/>
      <c r="K798" s="168"/>
      <c r="L798" s="168"/>
      <c r="M798" s="168"/>
      <c r="P798" s="168"/>
      <c r="Q798" s="168"/>
    </row>
    <row r="799">
      <c r="A799" s="168"/>
      <c r="B799" s="168"/>
      <c r="C799" s="168"/>
      <c r="D799" s="168"/>
      <c r="E799" s="168"/>
      <c r="F799" s="168"/>
      <c r="G799" s="168"/>
      <c r="H799" s="168"/>
      <c r="I799" s="168"/>
      <c r="J799" s="168"/>
      <c r="K799" s="168"/>
      <c r="L799" s="168"/>
      <c r="M799" s="168"/>
      <c r="P799" s="168"/>
      <c r="Q799" s="168"/>
    </row>
    <row r="800">
      <c r="A800" s="168"/>
      <c r="B800" s="168"/>
      <c r="C800" s="168"/>
      <c r="D800" s="168"/>
      <c r="E800" s="168"/>
      <c r="F800" s="168"/>
      <c r="G800" s="168"/>
      <c r="H800" s="168"/>
      <c r="I800" s="168"/>
      <c r="J800" s="168"/>
      <c r="K800" s="168"/>
      <c r="L800" s="168"/>
      <c r="M800" s="168"/>
      <c r="P800" s="168"/>
      <c r="Q800" s="168"/>
    </row>
    <row r="801">
      <c r="A801" s="168"/>
      <c r="B801" s="168"/>
      <c r="C801" s="168"/>
      <c r="D801" s="168"/>
      <c r="E801" s="168"/>
      <c r="F801" s="168"/>
      <c r="G801" s="168"/>
      <c r="H801" s="168"/>
      <c r="I801" s="168"/>
      <c r="J801" s="168"/>
      <c r="K801" s="168"/>
      <c r="L801" s="168"/>
      <c r="M801" s="168"/>
      <c r="P801" s="168"/>
      <c r="Q801" s="168"/>
    </row>
    <row r="802">
      <c r="A802" s="168"/>
      <c r="B802" s="168"/>
      <c r="C802" s="168"/>
      <c r="D802" s="168"/>
      <c r="E802" s="168"/>
      <c r="F802" s="168"/>
      <c r="G802" s="168"/>
      <c r="H802" s="168"/>
      <c r="I802" s="168"/>
      <c r="J802" s="168"/>
      <c r="K802" s="168"/>
      <c r="L802" s="168"/>
      <c r="M802" s="168"/>
      <c r="P802" s="168"/>
      <c r="Q802" s="168"/>
    </row>
    <row r="803">
      <c r="A803" s="168"/>
      <c r="B803" s="168"/>
      <c r="C803" s="168"/>
      <c r="D803" s="168"/>
      <c r="E803" s="168"/>
      <c r="F803" s="168"/>
      <c r="G803" s="168"/>
      <c r="H803" s="168"/>
      <c r="I803" s="168"/>
      <c r="J803" s="168"/>
      <c r="K803" s="168"/>
      <c r="L803" s="168"/>
      <c r="M803" s="168"/>
      <c r="P803" s="168"/>
      <c r="Q803" s="168"/>
    </row>
    <row r="804">
      <c r="A804" s="168"/>
      <c r="B804" s="168"/>
      <c r="C804" s="168"/>
      <c r="D804" s="168"/>
      <c r="E804" s="168"/>
      <c r="F804" s="168"/>
      <c r="G804" s="168"/>
      <c r="H804" s="168"/>
      <c r="I804" s="168"/>
      <c r="J804" s="168"/>
      <c r="K804" s="168"/>
      <c r="L804" s="168"/>
      <c r="M804" s="168"/>
      <c r="P804" s="168"/>
      <c r="Q804" s="168"/>
    </row>
    <row r="805">
      <c r="A805" s="168"/>
      <c r="B805" s="168"/>
      <c r="C805" s="168"/>
      <c r="D805" s="168"/>
      <c r="E805" s="168"/>
      <c r="F805" s="168"/>
      <c r="G805" s="168"/>
      <c r="H805" s="168"/>
      <c r="I805" s="168"/>
      <c r="J805" s="168"/>
      <c r="K805" s="168"/>
      <c r="L805" s="168"/>
      <c r="M805" s="168"/>
      <c r="P805" s="168"/>
      <c r="Q805" s="168"/>
    </row>
    <row r="806">
      <c r="A806" s="168"/>
      <c r="B806" s="168"/>
      <c r="C806" s="168"/>
      <c r="D806" s="168"/>
      <c r="E806" s="168"/>
      <c r="F806" s="168"/>
      <c r="G806" s="168"/>
      <c r="H806" s="168"/>
      <c r="I806" s="168"/>
      <c r="J806" s="168"/>
      <c r="K806" s="168"/>
      <c r="L806" s="168"/>
      <c r="M806" s="168"/>
      <c r="P806" s="168"/>
      <c r="Q806" s="168"/>
    </row>
    <row r="807">
      <c r="A807" s="168"/>
      <c r="B807" s="168"/>
      <c r="C807" s="168"/>
      <c r="D807" s="168"/>
      <c r="E807" s="168"/>
      <c r="F807" s="168"/>
      <c r="G807" s="168"/>
      <c r="H807" s="168"/>
      <c r="I807" s="168"/>
      <c r="J807" s="168"/>
      <c r="K807" s="168"/>
      <c r="L807" s="168"/>
      <c r="M807" s="168"/>
      <c r="P807" s="168"/>
      <c r="Q807" s="168"/>
    </row>
    <row r="808">
      <c r="A808" s="168"/>
      <c r="B808" s="168"/>
      <c r="C808" s="168"/>
      <c r="D808" s="168"/>
      <c r="E808" s="168"/>
      <c r="F808" s="168"/>
      <c r="G808" s="168"/>
      <c r="H808" s="168"/>
      <c r="I808" s="168"/>
      <c r="J808" s="168"/>
      <c r="K808" s="168"/>
      <c r="L808" s="168"/>
      <c r="M808" s="168"/>
      <c r="P808" s="168"/>
      <c r="Q808" s="168"/>
    </row>
    <row r="809">
      <c r="A809" s="168"/>
      <c r="B809" s="168"/>
      <c r="C809" s="168"/>
      <c r="D809" s="168"/>
      <c r="E809" s="168"/>
      <c r="F809" s="168"/>
      <c r="G809" s="168"/>
      <c r="H809" s="168"/>
      <c r="I809" s="168"/>
      <c r="J809" s="168"/>
      <c r="K809" s="168"/>
      <c r="L809" s="168"/>
      <c r="M809" s="168"/>
      <c r="P809" s="168"/>
      <c r="Q809" s="168"/>
    </row>
    <row r="810">
      <c r="A810" s="168"/>
      <c r="B810" s="168"/>
      <c r="C810" s="168"/>
      <c r="D810" s="168"/>
      <c r="E810" s="168"/>
      <c r="F810" s="168"/>
      <c r="G810" s="168"/>
      <c r="H810" s="168"/>
      <c r="I810" s="168"/>
      <c r="J810" s="168"/>
      <c r="K810" s="168"/>
      <c r="L810" s="168"/>
      <c r="M810" s="168"/>
      <c r="P810" s="168"/>
      <c r="Q810" s="168"/>
    </row>
    <row r="811">
      <c r="A811" s="168"/>
      <c r="B811" s="168"/>
      <c r="C811" s="168"/>
      <c r="D811" s="168"/>
      <c r="E811" s="168"/>
      <c r="F811" s="168"/>
      <c r="G811" s="168"/>
      <c r="H811" s="168"/>
      <c r="I811" s="168"/>
      <c r="J811" s="168"/>
      <c r="K811" s="168"/>
      <c r="L811" s="168"/>
      <c r="M811" s="168"/>
      <c r="P811" s="168"/>
      <c r="Q811" s="168"/>
    </row>
    <row r="812">
      <c r="A812" s="168"/>
      <c r="B812" s="168"/>
      <c r="C812" s="168"/>
      <c r="D812" s="168"/>
      <c r="E812" s="168"/>
      <c r="F812" s="168"/>
      <c r="G812" s="168"/>
      <c r="H812" s="168"/>
      <c r="I812" s="168"/>
      <c r="J812" s="168"/>
      <c r="K812" s="168"/>
      <c r="L812" s="168"/>
      <c r="M812" s="168"/>
      <c r="P812" s="168"/>
      <c r="Q812" s="168"/>
    </row>
    <row r="813">
      <c r="A813" s="168"/>
      <c r="B813" s="168"/>
      <c r="C813" s="168"/>
      <c r="D813" s="168"/>
      <c r="E813" s="168"/>
      <c r="F813" s="168"/>
      <c r="G813" s="168"/>
      <c r="H813" s="168"/>
      <c r="I813" s="168"/>
      <c r="J813" s="168"/>
      <c r="K813" s="168"/>
      <c r="L813" s="168"/>
      <c r="M813" s="168"/>
      <c r="P813" s="168"/>
      <c r="Q813" s="168"/>
    </row>
    <row r="814">
      <c r="A814" s="168"/>
      <c r="B814" s="168"/>
      <c r="C814" s="168"/>
      <c r="D814" s="168"/>
      <c r="E814" s="168"/>
      <c r="F814" s="168"/>
      <c r="G814" s="168"/>
      <c r="H814" s="168"/>
      <c r="I814" s="168"/>
      <c r="J814" s="168"/>
      <c r="K814" s="168"/>
      <c r="L814" s="168"/>
      <c r="M814" s="168"/>
      <c r="P814" s="168"/>
      <c r="Q814" s="168"/>
    </row>
    <row r="815">
      <c r="A815" s="168"/>
      <c r="B815" s="168"/>
      <c r="C815" s="168"/>
      <c r="D815" s="168"/>
      <c r="E815" s="168"/>
      <c r="F815" s="168"/>
      <c r="G815" s="168"/>
      <c r="H815" s="168"/>
      <c r="I815" s="168"/>
      <c r="J815" s="168"/>
      <c r="K815" s="168"/>
      <c r="L815" s="168"/>
      <c r="M815" s="168"/>
      <c r="P815" s="168"/>
      <c r="Q815" s="168"/>
    </row>
    <row r="816">
      <c r="A816" s="168"/>
      <c r="B816" s="168"/>
      <c r="C816" s="168"/>
      <c r="D816" s="168"/>
      <c r="E816" s="168"/>
      <c r="F816" s="168"/>
      <c r="G816" s="168"/>
      <c r="H816" s="168"/>
      <c r="I816" s="168"/>
      <c r="J816" s="168"/>
      <c r="K816" s="168"/>
      <c r="L816" s="168"/>
      <c r="M816" s="168"/>
      <c r="P816" s="168"/>
      <c r="Q816" s="168"/>
    </row>
    <row r="817">
      <c r="A817" s="168"/>
      <c r="B817" s="168"/>
      <c r="C817" s="168"/>
      <c r="D817" s="168"/>
      <c r="E817" s="168"/>
      <c r="F817" s="168"/>
      <c r="G817" s="168"/>
      <c r="H817" s="168"/>
      <c r="I817" s="168"/>
      <c r="J817" s="168"/>
      <c r="K817" s="168"/>
      <c r="L817" s="168"/>
      <c r="M817" s="168"/>
      <c r="P817" s="168"/>
      <c r="Q817" s="168"/>
    </row>
    <row r="818">
      <c r="A818" s="168"/>
      <c r="B818" s="168"/>
      <c r="C818" s="168"/>
      <c r="D818" s="168"/>
      <c r="E818" s="168"/>
      <c r="F818" s="168"/>
      <c r="G818" s="168"/>
      <c r="H818" s="168"/>
      <c r="I818" s="168"/>
      <c r="J818" s="168"/>
      <c r="K818" s="168"/>
      <c r="L818" s="168"/>
      <c r="M818" s="168"/>
      <c r="P818" s="168"/>
      <c r="Q818" s="168"/>
    </row>
    <row r="819">
      <c r="A819" s="168"/>
      <c r="B819" s="168"/>
      <c r="C819" s="168"/>
      <c r="D819" s="168"/>
      <c r="E819" s="168"/>
      <c r="F819" s="168"/>
      <c r="G819" s="168"/>
      <c r="H819" s="168"/>
      <c r="I819" s="168"/>
      <c r="J819" s="168"/>
      <c r="K819" s="168"/>
      <c r="L819" s="168"/>
      <c r="M819" s="168"/>
      <c r="P819" s="168"/>
      <c r="Q819" s="168"/>
    </row>
    <row r="820">
      <c r="A820" s="168"/>
      <c r="B820" s="168"/>
      <c r="C820" s="168"/>
      <c r="D820" s="168"/>
      <c r="E820" s="168"/>
      <c r="F820" s="168"/>
      <c r="G820" s="168"/>
      <c r="H820" s="168"/>
      <c r="I820" s="168"/>
      <c r="J820" s="168"/>
      <c r="K820" s="168"/>
      <c r="L820" s="168"/>
      <c r="M820" s="168"/>
      <c r="P820" s="168"/>
      <c r="Q820" s="168"/>
    </row>
    <row r="821">
      <c r="A821" s="168"/>
      <c r="B821" s="168"/>
      <c r="C821" s="168"/>
      <c r="D821" s="168"/>
      <c r="E821" s="168"/>
      <c r="F821" s="168"/>
      <c r="G821" s="168"/>
      <c r="H821" s="168"/>
      <c r="I821" s="168"/>
      <c r="J821" s="168"/>
      <c r="K821" s="168"/>
      <c r="L821" s="168"/>
      <c r="M821" s="168"/>
      <c r="P821" s="168"/>
      <c r="Q821" s="168"/>
    </row>
    <row r="822">
      <c r="A822" s="168"/>
      <c r="B822" s="168"/>
      <c r="C822" s="168"/>
      <c r="D822" s="168"/>
      <c r="E822" s="168"/>
      <c r="F822" s="168"/>
      <c r="G822" s="168"/>
      <c r="H822" s="168"/>
      <c r="I822" s="168"/>
      <c r="J822" s="168"/>
      <c r="K822" s="168"/>
      <c r="L822" s="168"/>
      <c r="M822" s="168"/>
      <c r="P822" s="168"/>
      <c r="Q822" s="168"/>
    </row>
    <row r="823">
      <c r="A823" s="168"/>
      <c r="B823" s="168"/>
      <c r="C823" s="168"/>
      <c r="D823" s="168"/>
      <c r="E823" s="168"/>
      <c r="F823" s="168"/>
      <c r="G823" s="168"/>
      <c r="H823" s="168"/>
      <c r="I823" s="168"/>
      <c r="J823" s="168"/>
      <c r="K823" s="168"/>
      <c r="L823" s="168"/>
      <c r="M823" s="168"/>
      <c r="P823" s="168"/>
      <c r="Q823" s="168"/>
    </row>
    <row r="824">
      <c r="A824" s="168"/>
      <c r="B824" s="168"/>
      <c r="C824" s="168"/>
      <c r="D824" s="168"/>
      <c r="E824" s="168"/>
      <c r="F824" s="168"/>
      <c r="G824" s="168"/>
      <c r="H824" s="168"/>
      <c r="I824" s="168"/>
      <c r="J824" s="168"/>
      <c r="K824" s="168"/>
      <c r="L824" s="168"/>
      <c r="M824" s="168"/>
      <c r="P824" s="168"/>
      <c r="Q824" s="168"/>
    </row>
    <row r="825">
      <c r="A825" s="168"/>
      <c r="B825" s="168"/>
      <c r="C825" s="168"/>
      <c r="D825" s="168"/>
      <c r="E825" s="168"/>
      <c r="F825" s="168"/>
      <c r="G825" s="168"/>
      <c r="H825" s="168"/>
      <c r="I825" s="168"/>
      <c r="J825" s="168"/>
      <c r="K825" s="168"/>
      <c r="L825" s="168"/>
      <c r="M825" s="168"/>
      <c r="P825" s="168"/>
      <c r="Q825" s="168"/>
    </row>
    <row r="826">
      <c r="A826" s="168"/>
      <c r="B826" s="168"/>
      <c r="C826" s="168"/>
      <c r="D826" s="168"/>
      <c r="E826" s="168"/>
      <c r="F826" s="168"/>
      <c r="G826" s="168"/>
      <c r="H826" s="168"/>
      <c r="I826" s="168"/>
      <c r="J826" s="168"/>
      <c r="K826" s="168"/>
      <c r="L826" s="168"/>
      <c r="M826" s="168"/>
      <c r="P826" s="168"/>
      <c r="Q826" s="168"/>
    </row>
    <row r="827">
      <c r="A827" s="168"/>
      <c r="B827" s="168"/>
      <c r="C827" s="168"/>
      <c r="D827" s="168"/>
      <c r="E827" s="168"/>
      <c r="F827" s="168"/>
      <c r="G827" s="168"/>
      <c r="H827" s="168"/>
      <c r="I827" s="168"/>
      <c r="J827" s="168"/>
      <c r="K827" s="168"/>
      <c r="L827" s="168"/>
      <c r="M827" s="168"/>
      <c r="P827" s="168"/>
      <c r="Q827" s="168"/>
    </row>
    <row r="828">
      <c r="A828" s="168"/>
      <c r="B828" s="168"/>
      <c r="C828" s="168"/>
      <c r="D828" s="168"/>
      <c r="E828" s="168"/>
      <c r="F828" s="168"/>
      <c r="G828" s="168"/>
      <c r="H828" s="168"/>
      <c r="I828" s="168"/>
      <c r="J828" s="168"/>
      <c r="K828" s="168"/>
      <c r="L828" s="168"/>
      <c r="M828" s="168"/>
      <c r="P828" s="168"/>
      <c r="Q828" s="168"/>
    </row>
    <row r="829">
      <c r="A829" s="168"/>
      <c r="B829" s="168"/>
      <c r="C829" s="168"/>
      <c r="D829" s="168"/>
      <c r="E829" s="168"/>
      <c r="F829" s="168"/>
      <c r="G829" s="168"/>
      <c r="H829" s="168"/>
      <c r="I829" s="168"/>
      <c r="J829" s="168"/>
      <c r="K829" s="168"/>
      <c r="L829" s="168"/>
      <c r="M829" s="168"/>
      <c r="P829" s="168"/>
      <c r="Q829" s="168"/>
    </row>
    <row r="830">
      <c r="A830" s="168"/>
      <c r="B830" s="168"/>
      <c r="C830" s="168"/>
      <c r="D830" s="168"/>
      <c r="E830" s="168"/>
      <c r="F830" s="168"/>
      <c r="G830" s="168"/>
      <c r="H830" s="168"/>
      <c r="I830" s="168"/>
      <c r="J830" s="168"/>
      <c r="K830" s="168"/>
      <c r="L830" s="168"/>
      <c r="M830" s="168"/>
      <c r="P830" s="168"/>
      <c r="Q830" s="168"/>
    </row>
    <row r="831">
      <c r="A831" s="168"/>
      <c r="B831" s="168"/>
      <c r="C831" s="168"/>
      <c r="D831" s="168"/>
      <c r="E831" s="168"/>
      <c r="F831" s="168"/>
      <c r="G831" s="168"/>
      <c r="H831" s="168"/>
      <c r="I831" s="168"/>
      <c r="J831" s="168"/>
      <c r="K831" s="168"/>
      <c r="L831" s="168"/>
      <c r="M831" s="168"/>
      <c r="P831" s="168"/>
      <c r="Q831" s="168"/>
    </row>
    <row r="832">
      <c r="A832" s="168"/>
      <c r="B832" s="168"/>
      <c r="C832" s="168"/>
      <c r="D832" s="168"/>
      <c r="E832" s="168"/>
      <c r="F832" s="168"/>
      <c r="G832" s="168"/>
      <c r="H832" s="168"/>
      <c r="I832" s="168"/>
      <c r="J832" s="168"/>
      <c r="K832" s="168"/>
      <c r="L832" s="168"/>
      <c r="M832" s="168"/>
      <c r="P832" s="168"/>
      <c r="Q832" s="168"/>
    </row>
    <row r="833">
      <c r="A833" s="168"/>
      <c r="B833" s="168"/>
      <c r="C833" s="168"/>
      <c r="D833" s="168"/>
      <c r="E833" s="168"/>
      <c r="F833" s="168"/>
      <c r="G833" s="168"/>
      <c r="H833" s="168"/>
      <c r="I833" s="168"/>
      <c r="J833" s="168"/>
      <c r="K833" s="168"/>
      <c r="L833" s="168"/>
      <c r="M833" s="168"/>
      <c r="P833" s="168"/>
      <c r="Q833" s="168"/>
    </row>
    <row r="834">
      <c r="A834" s="168"/>
      <c r="B834" s="168"/>
      <c r="C834" s="168"/>
      <c r="D834" s="168"/>
      <c r="E834" s="168"/>
      <c r="F834" s="168"/>
      <c r="G834" s="168"/>
      <c r="H834" s="168"/>
      <c r="I834" s="168"/>
      <c r="J834" s="168"/>
      <c r="K834" s="168"/>
      <c r="L834" s="168"/>
      <c r="M834" s="168"/>
      <c r="P834" s="168"/>
      <c r="Q834" s="168"/>
    </row>
    <row r="835">
      <c r="A835" s="168"/>
      <c r="B835" s="168"/>
      <c r="C835" s="168"/>
      <c r="D835" s="168"/>
      <c r="E835" s="168"/>
      <c r="F835" s="168"/>
      <c r="G835" s="168"/>
      <c r="H835" s="168"/>
      <c r="I835" s="168"/>
      <c r="J835" s="168"/>
      <c r="K835" s="168"/>
      <c r="L835" s="168"/>
      <c r="M835" s="168"/>
      <c r="P835" s="168"/>
      <c r="Q835" s="168"/>
    </row>
    <row r="836">
      <c r="A836" s="168"/>
      <c r="B836" s="168"/>
      <c r="C836" s="168"/>
      <c r="D836" s="168"/>
      <c r="E836" s="168"/>
      <c r="F836" s="168"/>
      <c r="G836" s="168"/>
      <c r="H836" s="168"/>
      <c r="I836" s="168"/>
      <c r="J836" s="168"/>
      <c r="K836" s="168"/>
      <c r="L836" s="168"/>
      <c r="M836" s="168"/>
      <c r="P836" s="168"/>
      <c r="Q836" s="168"/>
    </row>
    <row r="837">
      <c r="A837" s="168"/>
      <c r="B837" s="168"/>
      <c r="C837" s="168"/>
      <c r="D837" s="168"/>
      <c r="E837" s="168"/>
      <c r="F837" s="168"/>
      <c r="G837" s="168"/>
      <c r="H837" s="168"/>
      <c r="I837" s="168"/>
      <c r="J837" s="168"/>
      <c r="K837" s="168"/>
      <c r="L837" s="168"/>
      <c r="M837" s="168"/>
      <c r="P837" s="168"/>
      <c r="Q837" s="168"/>
    </row>
    <row r="838">
      <c r="A838" s="168"/>
      <c r="B838" s="168"/>
      <c r="C838" s="168"/>
      <c r="D838" s="168"/>
      <c r="E838" s="168"/>
      <c r="F838" s="168"/>
      <c r="G838" s="168"/>
      <c r="H838" s="168"/>
      <c r="I838" s="168"/>
      <c r="J838" s="168"/>
      <c r="K838" s="168"/>
      <c r="L838" s="168"/>
      <c r="M838" s="168"/>
      <c r="P838" s="168"/>
      <c r="Q838" s="168"/>
    </row>
    <row r="839">
      <c r="A839" s="168"/>
      <c r="B839" s="168"/>
      <c r="C839" s="168"/>
      <c r="D839" s="168"/>
      <c r="E839" s="168"/>
      <c r="F839" s="168"/>
      <c r="G839" s="168"/>
      <c r="H839" s="168"/>
      <c r="I839" s="168"/>
      <c r="J839" s="168"/>
      <c r="K839" s="168"/>
      <c r="L839" s="168"/>
      <c r="M839" s="168"/>
      <c r="P839" s="168"/>
      <c r="Q839" s="168"/>
    </row>
    <row r="840">
      <c r="A840" s="168"/>
      <c r="B840" s="168"/>
      <c r="C840" s="168"/>
      <c r="D840" s="168"/>
      <c r="E840" s="168"/>
      <c r="F840" s="168"/>
      <c r="G840" s="168"/>
      <c r="H840" s="168"/>
      <c r="I840" s="168"/>
      <c r="J840" s="168"/>
      <c r="K840" s="168"/>
      <c r="L840" s="168"/>
      <c r="M840" s="168"/>
      <c r="P840" s="168"/>
      <c r="Q840" s="168"/>
    </row>
    <row r="841">
      <c r="A841" s="168"/>
      <c r="B841" s="168"/>
      <c r="C841" s="168"/>
      <c r="D841" s="168"/>
      <c r="E841" s="168"/>
      <c r="F841" s="168"/>
      <c r="G841" s="168"/>
      <c r="H841" s="168"/>
      <c r="I841" s="168"/>
      <c r="J841" s="168"/>
      <c r="K841" s="168"/>
      <c r="L841" s="168"/>
      <c r="M841" s="168"/>
      <c r="P841" s="168"/>
      <c r="Q841" s="168"/>
    </row>
    <row r="842">
      <c r="A842" s="168"/>
      <c r="B842" s="168"/>
      <c r="C842" s="168"/>
      <c r="D842" s="168"/>
      <c r="E842" s="168"/>
      <c r="F842" s="168"/>
      <c r="G842" s="168"/>
      <c r="H842" s="168"/>
      <c r="I842" s="168"/>
      <c r="J842" s="168"/>
      <c r="K842" s="168"/>
      <c r="L842" s="168"/>
      <c r="M842" s="168"/>
      <c r="P842" s="168"/>
      <c r="Q842" s="168"/>
    </row>
    <row r="843">
      <c r="A843" s="168"/>
      <c r="B843" s="168"/>
      <c r="C843" s="168"/>
      <c r="D843" s="168"/>
      <c r="E843" s="168"/>
      <c r="F843" s="168"/>
      <c r="G843" s="168"/>
      <c r="H843" s="168"/>
      <c r="I843" s="168"/>
      <c r="J843" s="168"/>
      <c r="K843" s="168"/>
      <c r="L843" s="168"/>
      <c r="M843" s="168"/>
      <c r="P843" s="168"/>
      <c r="Q843" s="168"/>
    </row>
    <row r="844">
      <c r="A844" s="168"/>
      <c r="B844" s="168"/>
      <c r="C844" s="168"/>
      <c r="D844" s="168"/>
      <c r="E844" s="168"/>
      <c r="F844" s="168"/>
      <c r="G844" s="168"/>
      <c r="H844" s="168"/>
      <c r="I844" s="168"/>
      <c r="J844" s="168"/>
      <c r="K844" s="168"/>
      <c r="L844" s="168"/>
      <c r="M844" s="168"/>
      <c r="P844" s="168"/>
      <c r="Q844" s="168"/>
    </row>
    <row r="845">
      <c r="A845" s="168"/>
      <c r="B845" s="168"/>
      <c r="C845" s="168"/>
      <c r="D845" s="168"/>
      <c r="E845" s="168"/>
      <c r="F845" s="168"/>
      <c r="G845" s="168"/>
      <c r="H845" s="168"/>
      <c r="I845" s="168"/>
      <c r="J845" s="168"/>
      <c r="K845" s="168"/>
      <c r="L845" s="168"/>
      <c r="M845" s="168"/>
      <c r="P845" s="168"/>
      <c r="Q845" s="168"/>
    </row>
    <row r="846">
      <c r="A846" s="168"/>
      <c r="B846" s="168"/>
      <c r="C846" s="168"/>
      <c r="D846" s="168"/>
      <c r="E846" s="168"/>
      <c r="F846" s="168"/>
      <c r="G846" s="168"/>
      <c r="H846" s="168"/>
      <c r="I846" s="168"/>
      <c r="J846" s="168"/>
      <c r="K846" s="168"/>
      <c r="L846" s="168"/>
      <c r="M846" s="168"/>
      <c r="P846" s="168"/>
      <c r="Q846" s="168"/>
    </row>
    <row r="847">
      <c r="A847" s="168"/>
      <c r="B847" s="168"/>
      <c r="C847" s="168"/>
      <c r="D847" s="168"/>
      <c r="E847" s="168"/>
      <c r="F847" s="168"/>
      <c r="G847" s="168"/>
      <c r="H847" s="168"/>
      <c r="I847" s="168"/>
      <c r="J847" s="168"/>
      <c r="K847" s="168"/>
      <c r="L847" s="168"/>
      <c r="M847" s="168"/>
      <c r="P847" s="168"/>
      <c r="Q847" s="168"/>
    </row>
    <row r="848">
      <c r="A848" s="168"/>
      <c r="B848" s="168"/>
      <c r="C848" s="168"/>
      <c r="D848" s="168"/>
      <c r="E848" s="168"/>
      <c r="F848" s="168"/>
      <c r="G848" s="168"/>
      <c r="H848" s="168"/>
      <c r="I848" s="168"/>
      <c r="J848" s="168"/>
      <c r="K848" s="168"/>
      <c r="L848" s="168"/>
      <c r="M848" s="168"/>
      <c r="P848" s="168"/>
      <c r="Q848" s="168"/>
    </row>
    <row r="849">
      <c r="A849" s="168"/>
      <c r="B849" s="168"/>
      <c r="C849" s="168"/>
      <c r="D849" s="168"/>
      <c r="E849" s="168"/>
      <c r="F849" s="168"/>
      <c r="G849" s="168"/>
      <c r="H849" s="168"/>
      <c r="I849" s="168"/>
      <c r="J849" s="168"/>
      <c r="K849" s="168"/>
      <c r="L849" s="168"/>
      <c r="M849" s="168"/>
      <c r="P849" s="168"/>
      <c r="Q849" s="168"/>
    </row>
    <row r="850">
      <c r="A850" s="168"/>
      <c r="B850" s="168"/>
      <c r="C850" s="168"/>
      <c r="D850" s="168"/>
      <c r="E850" s="168"/>
      <c r="F850" s="168"/>
      <c r="G850" s="168"/>
      <c r="H850" s="168"/>
      <c r="I850" s="168"/>
      <c r="J850" s="168"/>
      <c r="K850" s="168"/>
      <c r="L850" s="168"/>
      <c r="M850" s="168"/>
      <c r="P850" s="168"/>
      <c r="Q850" s="168"/>
    </row>
    <row r="851">
      <c r="A851" s="168"/>
      <c r="B851" s="168"/>
      <c r="C851" s="168"/>
      <c r="D851" s="168"/>
      <c r="E851" s="168"/>
      <c r="F851" s="168"/>
      <c r="G851" s="168"/>
      <c r="H851" s="168"/>
      <c r="I851" s="168"/>
      <c r="J851" s="168"/>
      <c r="K851" s="168"/>
      <c r="L851" s="168"/>
      <c r="M851" s="168"/>
      <c r="P851" s="168"/>
      <c r="Q851" s="168"/>
    </row>
    <row r="852">
      <c r="A852" s="168"/>
      <c r="B852" s="168"/>
      <c r="C852" s="168"/>
      <c r="D852" s="168"/>
      <c r="E852" s="168"/>
      <c r="F852" s="168"/>
      <c r="G852" s="168"/>
      <c r="H852" s="168"/>
      <c r="I852" s="168"/>
      <c r="J852" s="168"/>
      <c r="K852" s="168"/>
      <c r="L852" s="168"/>
      <c r="M852" s="168"/>
      <c r="P852" s="168"/>
      <c r="Q852" s="168"/>
    </row>
    <row r="853">
      <c r="A853" s="168"/>
      <c r="B853" s="168"/>
      <c r="C853" s="168"/>
      <c r="D853" s="168"/>
      <c r="E853" s="168"/>
      <c r="F853" s="168"/>
      <c r="G853" s="168"/>
      <c r="H853" s="168"/>
      <c r="I853" s="168"/>
      <c r="J853" s="168"/>
      <c r="K853" s="168"/>
      <c r="L853" s="168"/>
      <c r="M853" s="168"/>
      <c r="P853" s="168"/>
      <c r="Q853" s="168"/>
    </row>
    <row r="854">
      <c r="A854" s="168"/>
      <c r="B854" s="168"/>
      <c r="C854" s="168"/>
      <c r="D854" s="168"/>
      <c r="E854" s="168"/>
      <c r="F854" s="168"/>
      <c r="G854" s="168"/>
      <c r="H854" s="168"/>
      <c r="I854" s="168"/>
      <c r="J854" s="168"/>
      <c r="K854" s="168"/>
      <c r="L854" s="168"/>
      <c r="M854" s="168"/>
      <c r="P854" s="168"/>
      <c r="Q854" s="168"/>
    </row>
    <row r="855">
      <c r="A855" s="168"/>
      <c r="B855" s="168"/>
      <c r="C855" s="168"/>
      <c r="D855" s="168"/>
      <c r="E855" s="168"/>
      <c r="F855" s="168"/>
      <c r="G855" s="168"/>
      <c r="H855" s="168"/>
      <c r="I855" s="168"/>
      <c r="J855" s="168"/>
      <c r="K855" s="168"/>
      <c r="L855" s="168"/>
      <c r="M855" s="168"/>
      <c r="P855" s="168"/>
      <c r="Q855" s="168"/>
    </row>
    <row r="856">
      <c r="A856" s="168"/>
      <c r="B856" s="168"/>
      <c r="C856" s="168"/>
      <c r="D856" s="168"/>
      <c r="E856" s="168"/>
      <c r="F856" s="168"/>
      <c r="G856" s="168"/>
      <c r="H856" s="168"/>
      <c r="I856" s="168"/>
      <c r="J856" s="168"/>
      <c r="K856" s="168"/>
      <c r="L856" s="168"/>
      <c r="M856" s="168"/>
      <c r="P856" s="168"/>
      <c r="Q856" s="168"/>
    </row>
    <row r="857">
      <c r="A857" s="168"/>
      <c r="B857" s="168"/>
      <c r="C857" s="168"/>
      <c r="D857" s="168"/>
      <c r="E857" s="168"/>
      <c r="F857" s="168"/>
      <c r="G857" s="168"/>
      <c r="H857" s="168"/>
      <c r="I857" s="168"/>
      <c r="J857" s="168"/>
      <c r="K857" s="168"/>
      <c r="L857" s="168"/>
      <c r="M857" s="168"/>
      <c r="P857" s="168"/>
      <c r="Q857" s="168"/>
    </row>
    <row r="858">
      <c r="A858" s="168"/>
      <c r="B858" s="168"/>
      <c r="C858" s="168"/>
      <c r="D858" s="168"/>
      <c r="E858" s="168"/>
      <c r="F858" s="168"/>
      <c r="G858" s="168"/>
      <c r="H858" s="168"/>
      <c r="I858" s="168"/>
      <c r="J858" s="168"/>
      <c r="K858" s="168"/>
      <c r="L858" s="168"/>
      <c r="M858" s="168"/>
      <c r="P858" s="168"/>
      <c r="Q858" s="168"/>
    </row>
    <row r="859">
      <c r="A859" s="168"/>
      <c r="B859" s="168"/>
      <c r="C859" s="168"/>
      <c r="D859" s="168"/>
      <c r="E859" s="168"/>
      <c r="F859" s="168"/>
      <c r="G859" s="168"/>
      <c r="H859" s="168"/>
      <c r="I859" s="168"/>
      <c r="J859" s="168"/>
      <c r="K859" s="168"/>
      <c r="L859" s="168"/>
      <c r="M859" s="168"/>
      <c r="P859" s="168"/>
      <c r="Q859" s="168"/>
    </row>
    <row r="860">
      <c r="A860" s="168"/>
      <c r="B860" s="168"/>
      <c r="C860" s="168"/>
      <c r="D860" s="168"/>
      <c r="E860" s="168"/>
      <c r="F860" s="168"/>
      <c r="G860" s="168"/>
      <c r="H860" s="168"/>
      <c r="I860" s="168"/>
      <c r="J860" s="168"/>
      <c r="K860" s="168"/>
      <c r="L860" s="168"/>
      <c r="M860" s="168"/>
      <c r="P860" s="168"/>
      <c r="Q860" s="168"/>
    </row>
    <row r="861">
      <c r="A861" s="168"/>
      <c r="B861" s="168"/>
      <c r="C861" s="168"/>
      <c r="D861" s="168"/>
      <c r="E861" s="168"/>
      <c r="F861" s="168"/>
      <c r="G861" s="168"/>
      <c r="H861" s="168"/>
      <c r="I861" s="168"/>
      <c r="J861" s="168"/>
      <c r="K861" s="168"/>
      <c r="L861" s="168"/>
      <c r="M861" s="168"/>
      <c r="P861" s="168"/>
      <c r="Q861" s="168"/>
    </row>
    <row r="862">
      <c r="A862" s="168"/>
      <c r="B862" s="168"/>
      <c r="C862" s="168"/>
      <c r="D862" s="168"/>
      <c r="E862" s="168"/>
      <c r="F862" s="168"/>
      <c r="G862" s="168"/>
      <c r="H862" s="168"/>
      <c r="I862" s="168"/>
      <c r="J862" s="168"/>
      <c r="K862" s="168"/>
      <c r="L862" s="168"/>
      <c r="M862" s="168"/>
      <c r="P862" s="168"/>
      <c r="Q862" s="168"/>
    </row>
    <row r="863">
      <c r="A863" s="168"/>
      <c r="B863" s="168"/>
      <c r="C863" s="168"/>
      <c r="D863" s="168"/>
      <c r="E863" s="168"/>
      <c r="F863" s="168"/>
      <c r="G863" s="168"/>
      <c r="H863" s="168"/>
      <c r="I863" s="168"/>
      <c r="J863" s="168"/>
      <c r="K863" s="168"/>
      <c r="L863" s="168"/>
      <c r="M863" s="168"/>
      <c r="P863" s="168"/>
      <c r="Q863" s="168"/>
    </row>
    <row r="864">
      <c r="A864" s="168"/>
      <c r="B864" s="168"/>
      <c r="C864" s="168"/>
      <c r="D864" s="168"/>
      <c r="E864" s="168"/>
      <c r="F864" s="168"/>
      <c r="G864" s="168"/>
      <c r="H864" s="168"/>
      <c r="I864" s="168"/>
      <c r="J864" s="168"/>
      <c r="K864" s="168"/>
      <c r="L864" s="168"/>
      <c r="M864" s="168"/>
      <c r="P864" s="168"/>
      <c r="Q864" s="168"/>
    </row>
    <row r="865">
      <c r="A865" s="168"/>
      <c r="B865" s="168"/>
      <c r="C865" s="168"/>
      <c r="D865" s="168"/>
      <c r="E865" s="168"/>
      <c r="F865" s="168"/>
      <c r="G865" s="168"/>
      <c r="H865" s="168"/>
      <c r="I865" s="168"/>
      <c r="J865" s="168"/>
      <c r="K865" s="168"/>
      <c r="L865" s="168"/>
      <c r="M865" s="168"/>
      <c r="P865" s="168"/>
      <c r="Q865" s="168"/>
    </row>
    <row r="866">
      <c r="A866" s="168"/>
      <c r="B866" s="168"/>
      <c r="C866" s="168"/>
      <c r="D866" s="168"/>
      <c r="E866" s="168"/>
      <c r="F866" s="168"/>
      <c r="G866" s="168"/>
      <c r="H866" s="168"/>
      <c r="I866" s="168"/>
      <c r="J866" s="168"/>
      <c r="K866" s="168"/>
      <c r="L866" s="168"/>
      <c r="M866" s="168"/>
      <c r="P866" s="168"/>
      <c r="Q866" s="168"/>
    </row>
    <row r="867">
      <c r="A867" s="168"/>
      <c r="B867" s="168"/>
      <c r="C867" s="168"/>
      <c r="D867" s="168"/>
      <c r="E867" s="168"/>
      <c r="F867" s="168"/>
      <c r="G867" s="168"/>
      <c r="H867" s="168"/>
      <c r="I867" s="168"/>
      <c r="J867" s="168"/>
      <c r="K867" s="168"/>
      <c r="L867" s="168"/>
      <c r="M867" s="168"/>
      <c r="P867" s="168"/>
      <c r="Q867" s="168"/>
    </row>
    <row r="868">
      <c r="A868" s="168"/>
      <c r="B868" s="168"/>
      <c r="C868" s="168"/>
      <c r="D868" s="168"/>
      <c r="E868" s="168"/>
      <c r="F868" s="168"/>
      <c r="G868" s="168"/>
      <c r="H868" s="168"/>
      <c r="I868" s="168"/>
      <c r="J868" s="168"/>
      <c r="K868" s="168"/>
      <c r="L868" s="168"/>
      <c r="M868" s="168"/>
      <c r="P868" s="168"/>
      <c r="Q868" s="168"/>
    </row>
    <row r="869">
      <c r="A869" s="168"/>
      <c r="B869" s="168"/>
      <c r="C869" s="168"/>
      <c r="D869" s="168"/>
      <c r="E869" s="168"/>
      <c r="F869" s="168"/>
      <c r="G869" s="168"/>
      <c r="H869" s="168"/>
      <c r="I869" s="168"/>
      <c r="J869" s="168"/>
      <c r="K869" s="168"/>
      <c r="L869" s="168"/>
      <c r="M869" s="168"/>
      <c r="P869" s="168"/>
      <c r="Q869" s="168"/>
    </row>
    <row r="870">
      <c r="A870" s="168"/>
      <c r="B870" s="168"/>
      <c r="C870" s="168"/>
      <c r="D870" s="168"/>
      <c r="E870" s="168"/>
      <c r="F870" s="168"/>
      <c r="G870" s="168"/>
      <c r="H870" s="168"/>
      <c r="I870" s="168"/>
      <c r="J870" s="168"/>
      <c r="K870" s="168"/>
      <c r="L870" s="168"/>
      <c r="M870" s="168"/>
      <c r="P870" s="168"/>
      <c r="Q870" s="168"/>
    </row>
    <row r="871">
      <c r="A871" s="168"/>
      <c r="B871" s="168"/>
      <c r="C871" s="168"/>
      <c r="D871" s="168"/>
      <c r="E871" s="168"/>
      <c r="F871" s="168"/>
      <c r="G871" s="168"/>
      <c r="H871" s="168"/>
      <c r="I871" s="168"/>
      <c r="J871" s="168"/>
      <c r="K871" s="168"/>
      <c r="L871" s="168"/>
      <c r="M871" s="168"/>
      <c r="P871" s="168"/>
      <c r="Q871" s="168"/>
    </row>
    <row r="872">
      <c r="A872" s="168"/>
      <c r="B872" s="168"/>
      <c r="C872" s="168"/>
      <c r="D872" s="168"/>
      <c r="E872" s="168"/>
      <c r="F872" s="168"/>
      <c r="G872" s="168"/>
      <c r="H872" s="168"/>
      <c r="I872" s="168"/>
      <c r="J872" s="168"/>
      <c r="K872" s="168"/>
      <c r="L872" s="168"/>
      <c r="M872" s="168"/>
      <c r="P872" s="168"/>
      <c r="Q872" s="168"/>
    </row>
    <row r="873">
      <c r="A873" s="168"/>
      <c r="B873" s="168"/>
      <c r="C873" s="168"/>
      <c r="D873" s="168"/>
      <c r="E873" s="168"/>
      <c r="F873" s="168"/>
      <c r="G873" s="168"/>
      <c r="H873" s="168"/>
      <c r="I873" s="168"/>
      <c r="J873" s="168"/>
      <c r="K873" s="168"/>
      <c r="L873" s="168"/>
      <c r="M873" s="168"/>
      <c r="P873" s="168"/>
      <c r="Q873" s="168"/>
    </row>
    <row r="874">
      <c r="A874" s="168"/>
      <c r="B874" s="168"/>
      <c r="C874" s="168"/>
      <c r="D874" s="168"/>
      <c r="E874" s="168"/>
      <c r="F874" s="168"/>
      <c r="G874" s="168"/>
      <c r="H874" s="168"/>
      <c r="I874" s="168"/>
      <c r="J874" s="168"/>
      <c r="K874" s="168"/>
      <c r="L874" s="168"/>
      <c r="M874" s="168"/>
      <c r="P874" s="168"/>
      <c r="Q874" s="168"/>
    </row>
    <row r="875">
      <c r="A875" s="168"/>
      <c r="B875" s="168"/>
      <c r="C875" s="168"/>
      <c r="D875" s="168"/>
      <c r="E875" s="168"/>
      <c r="F875" s="168"/>
      <c r="G875" s="168"/>
      <c r="H875" s="168"/>
      <c r="I875" s="168"/>
      <c r="J875" s="168"/>
      <c r="K875" s="168"/>
      <c r="L875" s="168"/>
      <c r="M875" s="168"/>
      <c r="P875" s="168"/>
      <c r="Q875" s="168"/>
    </row>
    <row r="876">
      <c r="A876" s="168"/>
      <c r="B876" s="168"/>
      <c r="C876" s="168"/>
      <c r="D876" s="168"/>
      <c r="E876" s="168"/>
      <c r="F876" s="168"/>
      <c r="G876" s="168"/>
      <c r="H876" s="168"/>
      <c r="I876" s="168"/>
      <c r="J876" s="168"/>
      <c r="K876" s="168"/>
      <c r="L876" s="168"/>
      <c r="M876" s="168"/>
      <c r="P876" s="168"/>
      <c r="Q876" s="168"/>
    </row>
    <row r="877">
      <c r="A877" s="168"/>
      <c r="B877" s="168"/>
      <c r="C877" s="168"/>
      <c r="D877" s="168"/>
      <c r="E877" s="168"/>
      <c r="F877" s="168"/>
      <c r="G877" s="168"/>
      <c r="H877" s="168"/>
      <c r="I877" s="168"/>
      <c r="J877" s="168"/>
      <c r="K877" s="168"/>
      <c r="L877" s="168"/>
      <c r="M877" s="168"/>
      <c r="P877" s="168"/>
      <c r="Q877" s="168"/>
    </row>
    <row r="878">
      <c r="A878" s="168"/>
      <c r="B878" s="168"/>
      <c r="C878" s="168"/>
      <c r="D878" s="168"/>
      <c r="E878" s="168"/>
      <c r="F878" s="168"/>
      <c r="G878" s="168"/>
      <c r="H878" s="168"/>
      <c r="I878" s="168"/>
      <c r="J878" s="168"/>
      <c r="K878" s="168"/>
      <c r="L878" s="168"/>
      <c r="M878" s="168"/>
      <c r="P878" s="168"/>
      <c r="Q878" s="168"/>
    </row>
    <row r="879">
      <c r="A879" s="168"/>
      <c r="B879" s="168"/>
      <c r="C879" s="168"/>
      <c r="D879" s="168"/>
      <c r="E879" s="168"/>
      <c r="F879" s="168"/>
      <c r="G879" s="168"/>
      <c r="H879" s="168"/>
      <c r="I879" s="168"/>
      <c r="J879" s="168"/>
      <c r="K879" s="168"/>
      <c r="L879" s="168"/>
      <c r="M879" s="168"/>
      <c r="P879" s="168"/>
      <c r="Q879" s="168"/>
    </row>
    <row r="880">
      <c r="A880" s="168"/>
      <c r="B880" s="168"/>
      <c r="C880" s="168"/>
      <c r="D880" s="168"/>
      <c r="E880" s="168"/>
      <c r="F880" s="168"/>
      <c r="G880" s="168"/>
      <c r="H880" s="168"/>
      <c r="I880" s="168"/>
      <c r="J880" s="168"/>
      <c r="K880" s="168"/>
      <c r="L880" s="168"/>
      <c r="M880" s="168"/>
      <c r="P880" s="168"/>
      <c r="Q880" s="168"/>
    </row>
    <row r="881">
      <c r="A881" s="168"/>
      <c r="B881" s="168"/>
      <c r="C881" s="168"/>
      <c r="D881" s="168"/>
      <c r="E881" s="168"/>
      <c r="F881" s="168"/>
      <c r="G881" s="168"/>
      <c r="H881" s="168"/>
      <c r="I881" s="168"/>
      <c r="J881" s="168"/>
      <c r="K881" s="168"/>
      <c r="L881" s="168"/>
      <c r="M881" s="168"/>
      <c r="P881" s="168"/>
      <c r="Q881" s="168"/>
    </row>
    <row r="882">
      <c r="A882" s="168"/>
      <c r="B882" s="168"/>
      <c r="C882" s="168"/>
      <c r="D882" s="168"/>
      <c r="E882" s="168"/>
      <c r="F882" s="168"/>
      <c r="G882" s="168"/>
      <c r="H882" s="168"/>
      <c r="I882" s="168"/>
      <c r="J882" s="168"/>
      <c r="K882" s="168"/>
      <c r="L882" s="168"/>
      <c r="M882" s="168"/>
      <c r="P882" s="168"/>
      <c r="Q882" s="168"/>
    </row>
    <row r="883">
      <c r="A883" s="168"/>
      <c r="B883" s="168"/>
      <c r="C883" s="168"/>
      <c r="D883" s="168"/>
      <c r="E883" s="168"/>
      <c r="F883" s="168"/>
      <c r="G883" s="168"/>
      <c r="H883" s="168"/>
      <c r="I883" s="168"/>
      <c r="J883" s="168"/>
      <c r="K883" s="168"/>
      <c r="L883" s="168"/>
      <c r="M883" s="168"/>
      <c r="P883" s="168"/>
      <c r="Q883" s="168"/>
    </row>
    <row r="884">
      <c r="A884" s="168"/>
      <c r="B884" s="168"/>
      <c r="C884" s="168"/>
      <c r="D884" s="168"/>
      <c r="E884" s="168"/>
      <c r="F884" s="168"/>
      <c r="G884" s="168"/>
      <c r="H884" s="168"/>
      <c r="I884" s="168"/>
      <c r="J884" s="168"/>
      <c r="K884" s="168"/>
      <c r="L884" s="168"/>
      <c r="M884" s="168"/>
      <c r="P884" s="168"/>
      <c r="Q884" s="168"/>
    </row>
    <row r="885">
      <c r="A885" s="168"/>
      <c r="B885" s="168"/>
      <c r="C885" s="168"/>
      <c r="D885" s="168"/>
      <c r="E885" s="168"/>
      <c r="F885" s="168"/>
      <c r="G885" s="168"/>
      <c r="H885" s="168"/>
      <c r="I885" s="168"/>
      <c r="J885" s="168"/>
      <c r="K885" s="168"/>
      <c r="L885" s="168"/>
      <c r="M885" s="168"/>
      <c r="P885" s="168"/>
      <c r="Q885" s="168"/>
    </row>
    <row r="886">
      <c r="A886" s="168"/>
      <c r="B886" s="168"/>
      <c r="C886" s="168"/>
      <c r="D886" s="168"/>
      <c r="E886" s="168"/>
      <c r="F886" s="168"/>
      <c r="G886" s="168"/>
      <c r="H886" s="168"/>
      <c r="I886" s="168"/>
      <c r="J886" s="168"/>
      <c r="K886" s="168"/>
      <c r="L886" s="168"/>
      <c r="M886" s="168"/>
      <c r="P886" s="168"/>
      <c r="Q886" s="168"/>
    </row>
    <row r="887">
      <c r="A887" s="168"/>
      <c r="B887" s="168"/>
      <c r="C887" s="168"/>
      <c r="D887" s="168"/>
      <c r="E887" s="168"/>
      <c r="F887" s="168"/>
      <c r="G887" s="168"/>
      <c r="H887" s="168"/>
      <c r="I887" s="168"/>
      <c r="J887" s="168"/>
      <c r="K887" s="168"/>
      <c r="L887" s="168"/>
      <c r="M887" s="168"/>
      <c r="P887" s="168"/>
      <c r="Q887" s="168"/>
    </row>
    <row r="888">
      <c r="A888" s="168"/>
      <c r="B888" s="168"/>
      <c r="C888" s="168"/>
      <c r="D888" s="168"/>
      <c r="E888" s="168"/>
      <c r="F888" s="168"/>
      <c r="G888" s="168"/>
      <c r="H888" s="168"/>
      <c r="I888" s="168"/>
      <c r="J888" s="168"/>
      <c r="K888" s="168"/>
      <c r="L888" s="168"/>
      <c r="M888" s="168"/>
      <c r="P888" s="168"/>
      <c r="Q888" s="168"/>
    </row>
    <row r="889">
      <c r="A889" s="168"/>
      <c r="B889" s="168"/>
      <c r="C889" s="168"/>
      <c r="D889" s="168"/>
      <c r="E889" s="168"/>
      <c r="F889" s="168"/>
      <c r="G889" s="168"/>
      <c r="H889" s="168"/>
      <c r="I889" s="168"/>
      <c r="J889" s="168"/>
      <c r="K889" s="168"/>
      <c r="L889" s="168"/>
      <c r="M889" s="168"/>
      <c r="P889" s="168"/>
      <c r="Q889" s="168"/>
    </row>
    <row r="890">
      <c r="A890" s="168"/>
      <c r="B890" s="168"/>
      <c r="C890" s="168"/>
      <c r="D890" s="168"/>
      <c r="E890" s="168"/>
      <c r="F890" s="168"/>
      <c r="G890" s="168"/>
      <c r="H890" s="168"/>
      <c r="I890" s="168"/>
      <c r="J890" s="168"/>
      <c r="K890" s="168"/>
      <c r="L890" s="168"/>
      <c r="M890" s="168"/>
      <c r="P890" s="168"/>
      <c r="Q890" s="168"/>
    </row>
    <row r="891">
      <c r="A891" s="168"/>
      <c r="B891" s="168"/>
      <c r="C891" s="168"/>
      <c r="D891" s="168"/>
      <c r="E891" s="168"/>
      <c r="F891" s="168"/>
      <c r="G891" s="168"/>
      <c r="H891" s="168"/>
      <c r="I891" s="168"/>
      <c r="J891" s="168"/>
      <c r="K891" s="168"/>
      <c r="L891" s="168"/>
      <c r="M891" s="168"/>
      <c r="P891" s="168"/>
      <c r="Q891" s="168"/>
    </row>
    <row r="892">
      <c r="A892" s="168"/>
      <c r="B892" s="168"/>
      <c r="C892" s="168"/>
      <c r="D892" s="168"/>
      <c r="E892" s="168"/>
      <c r="F892" s="168"/>
      <c r="G892" s="168"/>
      <c r="H892" s="168"/>
      <c r="I892" s="168"/>
      <c r="J892" s="168"/>
      <c r="K892" s="168"/>
      <c r="L892" s="168"/>
      <c r="M892" s="168"/>
      <c r="P892" s="168"/>
      <c r="Q892" s="168"/>
    </row>
    <row r="893">
      <c r="A893" s="168"/>
      <c r="B893" s="168"/>
      <c r="C893" s="168"/>
      <c r="D893" s="168"/>
      <c r="E893" s="168"/>
      <c r="F893" s="168"/>
      <c r="G893" s="168"/>
      <c r="H893" s="168"/>
      <c r="I893" s="168"/>
      <c r="J893" s="168"/>
      <c r="K893" s="168"/>
      <c r="L893" s="168"/>
      <c r="M893" s="168"/>
      <c r="P893" s="168"/>
      <c r="Q893" s="168"/>
    </row>
    <row r="894">
      <c r="A894" s="168"/>
      <c r="B894" s="168"/>
      <c r="C894" s="168"/>
      <c r="D894" s="168"/>
      <c r="E894" s="168"/>
      <c r="F894" s="168"/>
      <c r="G894" s="168"/>
      <c r="H894" s="168"/>
      <c r="I894" s="168"/>
      <c r="J894" s="168"/>
      <c r="K894" s="168"/>
      <c r="L894" s="168"/>
      <c r="M894" s="168"/>
      <c r="P894" s="168"/>
      <c r="Q894" s="168"/>
    </row>
    <row r="895">
      <c r="A895" s="168"/>
      <c r="B895" s="168"/>
      <c r="C895" s="168"/>
      <c r="D895" s="168"/>
      <c r="E895" s="168"/>
      <c r="F895" s="168"/>
      <c r="G895" s="168"/>
      <c r="H895" s="168"/>
      <c r="I895" s="168"/>
      <c r="J895" s="168"/>
      <c r="K895" s="168"/>
      <c r="L895" s="168"/>
      <c r="M895" s="168"/>
      <c r="P895" s="168"/>
      <c r="Q895" s="168"/>
    </row>
    <row r="896">
      <c r="A896" s="168"/>
      <c r="B896" s="168"/>
      <c r="C896" s="168"/>
      <c r="D896" s="168"/>
      <c r="E896" s="168"/>
      <c r="F896" s="168"/>
      <c r="G896" s="168"/>
      <c r="H896" s="168"/>
      <c r="I896" s="168"/>
      <c r="J896" s="168"/>
      <c r="K896" s="168"/>
      <c r="L896" s="168"/>
      <c r="M896" s="168"/>
      <c r="P896" s="168"/>
      <c r="Q896" s="168"/>
    </row>
    <row r="897">
      <c r="A897" s="168"/>
      <c r="B897" s="168"/>
      <c r="C897" s="168"/>
      <c r="D897" s="168"/>
      <c r="E897" s="168"/>
      <c r="F897" s="168"/>
      <c r="G897" s="168"/>
      <c r="H897" s="168"/>
      <c r="I897" s="168"/>
      <c r="J897" s="168"/>
      <c r="K897" s="168"/>
      <c r="L897" s="168"/>
      <c r="M897" s="168"/>
      <c r="P897" s="168"/>
      <c r="Q897" s="168"/>
    </row>
    <row r="898">
      <c r="A898" s="168"/>
      <c r="B898" s="168"/>
      <c r="C898" s="168"/>
      <c r="D898" s="168"/>
      <c r="E898" s="168"/>
      <c r="F898" s="168"/>
      <c r="G898" s="168"/>
      <c r="H898" s="168"/>
      <c r="I898" s="168"/>
      <c r="J898" s="168"/>
      <c r="K898" s="168"/>
      <c r="L898" s="168"/>
      <c r="M898" s="168"/>
      <c r="P898" s="168"/>
      <c r="Q898" s="168"/>
    </row>
    <row r="899">
      <c r="A899" s="168"/>
      <c r="B899" s="168"/>
      <c r="C899" s="168"/>
      <c r="D899" s="168"/>
      <c r="E899" s="168"/>
      <c r="F899" s="168"/>
      <c r="G899" s="168"/>
      <c r="H899" s="168"/>
      <c r="I899" s="168"/>
      <c r="J899" s="168"/>
      <c r="K899" s="168"/>
      <c r="L899" s="168"/>
      <c r="M899" s="168"/>
      <c r="P899" s="168"/>
      <c r="Q899" s="168"/>
    </row>
    <row r="900">
      <c r="A900" s="168"/>
      <c r="B900" s="168"/>
      <c r="C900" s="168"/>
      <c r="D900" s="168"/>
      <c r="E900" s="168"/>
      <c r="F900" s="168"/>
      <c r="G900" s="168"/>
      <c r="H900" s="168"/>
      <c r="I900" s="168"/>
      <c r="J900" s="168"/>
      <c r="K900" s="168"/>
      <c r="L900" s="168"/>
      <c r="M900" s="168"/>
      <c r="P900" s="168"/>
      <c r="Q900" s="168"/>
    </row>
    <row r="901">
      <c r="A901" s="168"/>
      <c r="B901" s="168"/>
      <c r="C901" s="168"/>
      <c r="D901" s="168"/>
      <c r="E901" s="168"/>
      <c r="F901" s="168"/>
      <c r="G901" s="168"/>
      <c r="H901" s="168"/>
      <c r="I901" s="168"/>
      <c r="J901" s="168"/>
      <c r="K901" s="168"/>
      <c r="L901" s="168"/>
      <c r="M901" s="168"/>
      <c r="P901" s="168"/>
      <c r="Q901" s="168"/>
    </row>
    <row r="902">
      <c r="A902" s="168"/>
      <c r="B902" s="168"/>
      <c r="C902" s="168"/>
      <c r="D902" s="168"/>
      <c r="E902" s="168"/>
      <c r="F902" s="168"/>
      <c r="G902" s="168"/>
      <c r="H902" s="168"/>
      <c r="I902" s="168"/>
      <c r="J902" s="168"/>
      <c r="K902" s="168"/>
      <c r="L902" s="168"/>
      <c r="M902" s="168"/>
      <c r="P902" s="168"/>
      <c r="Q902" s="168"/>
    </row>
    <row r="903">
      <c r="A903" s="168"/>
      <c r="B903" s="168"/>
      <c r="C903" s="168"/>
      <c r="D903" s="168"/>
      <c r="E903" s="168"/>
      <c r="F903" s="168"/>
      <c r="G903" s="168"/>
      <c r="H903" s="168"/>
      <c r="I903" s="168"/>
      <c r="J903" s="168"/>
      <c r="K903" s="168"/>
      <c r="L903" s="168"/>
      <c r="M903" s="168"/>
      <c r="P903" s="168"/>
      <c r="Q903" s="168"/>
    </row>
    <row r="904">
      <c r="A904" s="168"/>
      <c r="B904" s="168"/>
      <c r="C904" s="168"/>
      <c r="D904" s="168"/>
      <c r="E904" s="168"/>
      <c r="F904" s="168"/>
      <c r="G904" s="168"/>
      <c r="H904" s="168"/>
      <c r="I904" s="168"/>
      <c r="J904" s="168"/>
      <c r="K904" s="168"/>
      <c r="L904" s="168"/>
      <c r="M904" s="168"/>
      <c r="P904" s="168"/>
      <c r="Q904" s="168"/>
    </row>
    <row r="905">
      <c r="A905" s="168"/>
      <c r="B905" s="168"/>
      <c r="C905" s="168"/>
      <c r="D905" s="168"/>
      <c r="E905" s="168"/>
      <c r="F905" s="168"/>
      <c r="G905" s="168"/>
      <c r="H905" s="168"/>
      <c r="I905" s="168"/>
      <c r="J905" s="168"/>
      <c r="K905" s="168"/>
      <c r="L905" s="168"/>
      <c r="M905" s="168"/>
      <c r="P905" s="168"/>
      <c r="Q905" s="168"/>
    </row>
    <row r="906">
      <c r="A906" s="168"/>
      <c r="B906" s="168"/>
      <c r="C906" s="168"/>
      <c r="D906" s="168"/>
      <c r="E906" s="168"/>
      <c r="F906" s="168"/>
      <c r="G906" s="168"/>
      <c r="H906" s="168"/>
      <c r="I906" s="168"/>
      <c r="J906" s="168"/>
      <c r="K906" s="168"/>
      <c r="L906" s="168"/>
      <c r="M906" s="168"/>
      <c r="P906" s="168"/>
      <c r="Q906" s="168"/>
    </row>
    <row r="907">
      <c r="A907" s="168"/>
      <c r="B907" s="168"/>
      <c r="C907" s="168"/>
      <c r="D907" s="168"/>
      <c r="E907" s="168"/>
      <c r="F907" s="168"/>
      <c r="G907" s="168"/>
      <c r="H907" s="168"/>
      <c r="I907" s="168"/>
      <c r="J907" s="168"/>
      <c r="K907" s="168"/>
      <c r="L907" s="168"/>
      <c r="M907" s="168"/>
      <c r="P907" s="168"/>
      <c r="Q907" s="168"/>
    </row>
    <row r="908">
      <c r="A908" s="168"/>
      <c r="B908" s="168"/>
      <c r="C908" s="168"/>
      <c r="D908" s="168"/>
      <c r="E908" s="168"/>
      <c r="F908" s="168"/>
      <c r="G908" s="168"/>
      <c r="H908" s="168"/>
      <c r="I908" s="168"/>
      <c r="J908" s="168"/>
      <c r="K908" s="168"/>
      <c r="L908" s="168"/>
      <c r="M908" s="168"/>
      <c r="P908" s="168"/>
      <c r="Q908" s="168"/>
    </row>
    <row r="909">
      <c r="A909" s="168"/>
      <c r="B909" s="168"/>
      <c r="C909" s="168"/>
      <c r="D909" s="168"/>
      <c r="E909" s="168"/>
      <c r="F909" s="168"/>
      <c r="G909" s="168"/>
      <c r="H909" s="168"/>
      <c r="I909" s="168"/>
      <c r="J909" s="168"/>
      <c r="K909" s="168"/>
      <c r="L909" s="168"/>
      <c r="M909" s="168"/>
      <c r="P909" s="168"/>
      <c r="Q909" s="168"/>
    </row>
    <row r="910">
      <c r="A910" s="168"/>
      <c r="B910" s="168"/>
      <c r="C910" s="168"/>
      <c r="D910" s="168"/>
      <c r="E910" s="168"/>
      <c r="F910" s="168"/>
      <c r="G910" s="168"/>
      <c r="H910" s="168"/>
      <c r="I910" s="168"/>
      <c r="J910" s="168"/>
      <c r="K910" s="168"/>
      <c r="L910" s="168"/>
      <c r="M910" s="168"/>
      <c r="P910" s="168"/>
      <c r="Q910" s="168"/>
    </row>
    <row r="911">
      <c r="A911" s="168"/>
      <c r="B911" s="168"/>
      <c r="C911" s="168"/>
      <c r="D911" s="168"/>
      <c r="E911" s="168"/>
      <c r="F911" s="168"/>
      <c r="G911" s="168"/>
      <c r="H911" s="168"/>
      <c r="I911" s="168"/>
      <c r="J911" s="168"/>
      <c r="K911" s="168"/>
      <c r="L911" s="168"/>
      <c r="M911" s="168"/>
      <c r="P911" s="168"/>
      <c r="Q911" s="168"/>
    </row>
    <row r="912">
      <c r="A912" s="168"/>
      <c r="B912" s="168"/>
      <c r="C912" s="168"/>
      <c r="D912" s="168"/>
      <c r="E912" s="168"/>
      <c r="F912" s="168"/>
      <c r="G912" s="168"/>
      <c r="H912" s="168"/>
      <c r="I912" s="168"/>
      <c r="J912" s="168"/>
      <c r="K912" s="168"/>
      <c r="L912" s="168"/>
      <c r="M912" s="168"/>
      <c r="P912" s="168"/>
      <c r="Q912" s="168"/>
    </row>
    <row r="913">
      <c r="A913" s="168"/>
      <c r="B913" s="168"/>
      <c r="C913" s="168"/>
      <c r="D913" s="168"/>
      <c r="E913" s="168"/>
      <c r="F913" s="168"/>
      <c r="G913" s="168"/>
      <c r="H913" s="168"/>
      <c r="I913" s="168"/>
      <c r="J913" s="168"/>
      <c r="K913" s="168"/>
      <c r="L913" s="168"/>
      <c r="M913" s="168"/>
      <c r="P913" s="168"/>
      <c r="Q913" s="168"/>
    </row>
    <row r="914">
      <c r="A914" s="168"/>
      <c r="B914" s="168"/>
      <c r="C914" s="168"/>
      <c r="D914" s="168"/>
      <c r="E914" s="168"/>
      <c r="F914" s="168"/>
      <c r="G914" s="168"/>
      <c r="H914" s="168"/>
      <c r="I914" s="168"/>
      <c r="J914" s="168"/>
      <c r="K914" s="168"/>
      <c r="L914" s="168"/>
      <c r="M914" s="168"/>
      <c r="P914" s="168"/>
      <c r="Q914" s="168"/>
    </row>
    <row r="915">
      <c r="A915" s="168"/>
      <c r="B915" s="168"/>
      <c r="C915" s="168"/>
      <c r="D915" s="168"/>
      <c r="E915" s="168"/>
      <c r="F915" s="168"/>
      <c r="G915" s="168"/>
      <c r="H915" s="168"/>
      <c r="I915" s="168"/>
      <c r="J915" s="168"/>
      <c r="K915" s="168"/>
      <c r="L915" s="168"/>
      <c r="M915" s="168"/>
      <c r="P915" s="168"/>
      <c r="Q915" s="168"/>
    </row>
    <row r="916">
      <c r="A916" s="168"/>
      <c r="B916" s="168"/>
      <c r="C916" s="168"/>
      <c r="D916" s="168"/>
      <c r="E916" s="168"/>
      <c r="F916" s="168"/>
      <c r="G916" s="168"/>
      <c r="H916" s="168"/>
      <c r="I916" s="168"/>
      <c r="J916" s="168"/>
      <c r="K916" s="168"/>
      <c r="L916" s="168"/>
      <c r="M916" s="168"/>
      <c r="P916" s="168"/>
      <c r="Q916" s="168"/>
    </row>
    <row r="917">
      <c r="A917" s="168"/>
      <c r="B917" s="168"/>
      <c r="C917" s="168"/>
      <c r="D917" s="168"/>
      <c r="E917" s="168"/>
      <c r="F917" s="168"/>
      <c r="G917" s="168"/>
      <c r="H917" s="168"/>
      <c r="I917" s="168"/>
      <c r="J917" s="168"/>
      <c r="K917" s="168"/>
      <c r="L917" s="168"/>
      <c r="M917" s="168"/>
      <c r="P917" s="168"/>
      <c r="Q917" s="168"/>
    </row>
    <row r="918">
      <c r="A918" s="168"/>
      <c r="B918" s="168"/>
      <c r="C918" s="168"/>
      <c r="D918" s="168"/>
      <c r="E918" s="168"/>
      <c r="F918" s="168"/>
      <c r="G918" s="168"/>
      <c r="H918" s="168"/>
      <c r="I918" s="168"/>
      <c r="J918" s="168"/>
      <c r="K918" s="168"/>
      <c r="L918" s="168"/>
      <c r="M918" s="168"/>
      <c r="P918" s="168"/>
      <c r="Q918" s="168"/>
    </row>
    <row r="919">
      <c r="A919" s="168"/>
      <c r="B919" s="168"/>
      <c r="C919" s="168"/>
      <c r="D919" s="168"/>
      <c r="E919" s="168"/>
      <c r="F919" s="168"/>
      <c r="G919" s="168"/>
      <c r="H919" s="168"/>
      <c r="I919" s="168"/>
      <c r="J919" s="168"/>
      <c r="K919" s="168"/>
      <c r="L919" s="168"/>
      <c r="M919" s="168"/>
      <c r="P919" s="168"/>
      <c r="Q919" s="168"/>
    </row>
    <row r="920">
      <c r="A920" s="168"/>
      <c r="B920" s="168"/>
      <c r="C920" s="168"/>
      <c r="D920" s="168"/>
      <c r="E920" s="168"/>
      <c r="F920" s="168"/>
      <c r="G920" s="168"/>
      <c r="H920" s="168"/>
      <c r="I920" s="168"/>
      <c r="J920" s="168"/>
      <c r="K920" s="168"/>
      <c r="L920" s="168"/>
      <c r="M920" s="168"/>
      <c r="P920" s="168"/>
      <c r="Q920" s="168"/>
    </row>
    <row r="921">
      <c r="A921" s="168"/>
      <c r="B921" s="168"/>
      <c r="C921" s="168"/>
      <c r="D921" s="168"/>
      <c r="E921" s="168"/>
      <c r="F921" s="168"/>
      <c r="G921" s="168"/>
      <c r="H921" s="168"/>
      <c r="I921" s="168"/>
      <c r="J921" s="168"/>
      <c r="K921" s="168"/>
      <c r="L921" s="168"/>
      <c r="M921" s="168"/>
      <c r="P921" s="168"/>
      <c r="Q921" s="168"/>
    </row>
    <row r="922">
      <c r="A922" s="168"/>
      <c r="B922" s="168"/>
      <c r="C922" s="168"/>
      <c r="D922" s="168"/>
      <c r="E922" s="168"/>
      <c r="F922" s="168"/>
      <c r="G922" s="168"/>
      <c r="H922" s="168"/>
      <c r="I922" s="168"/>
      <c r="J922" s="168"/>
      <c r="K922" s="168"/>
      <c r="L922" s="168"/>
      <c r="M922" s="168"/>
      <c r="P922" s="168"/>
      <c r="Q922" s="168"/>
    </row>
    <row r="923">
      <c r="A923" s="168"/>
      <c r="B923" s="168"/>
      <c r="C923" s="168"/>
      <c r="D923" s="168"/>
      <c r="E923" s="168"/>
      <c r="F923" s="168"/>
      <c r="G923" s="168"/>
      <c r="H923" s="168"/>
      <c r="I923" s="168"/>
      <c r="J923" s="168"/>
      <c r="K923" s="168"/>
      <c r="L923" s="168"/>
      <c r="M923" s="168"/>
      <c r="P923" s="168"/>
      <c r="Q923" s="168"/>
    </row>
    <row r="924">
      <c r="A924" s="168"/>
      <c r="B924" s="168"/>
      <c r="C924" s="168"/>
      <c r="D924" s="168"/>
      <c r="E924" s="168"/>
      <c r="F924" s="168"/>
      <c r="G924" s="168"/>
      <c r="H924" s="168"/>
      <c r="I924" s="168"/>
      <c r="J924" s="168"/>
      <c r="K924" s="168"/>
      <c r="L924" s="168"/>
      <c r="M924" s="168"/>
      <c r="P924" s="168"/>
      <c r="Q924" s="168"/>
    </row>
    <row r="925">
      <c r="A925" s="168"/>
      <c r="B925" s="168"/>
      <c r="C925" s="168"/>
      <c r="D925" s="168"/>
      <c r="E925" s="168"/>
      <c r="F925" s="168"/>
      <c r="G925" s="168"/>
      <c r="H925" s="168"/>
      <c r="I925" s="168"/>
      <c r="J925" s="168"/>
      <c r="K925" s="168"/>
      <c r="L925" s="168"/>
      <c r="M925" s="168"/>
      <c r="P925" s="168"/>
      <c r="Q925" s="168"/>
    </row>
    <row r="926">
      <c r="A926" s="168"/>
      <c r="B926" s="168"/>
      <c r="C926" s="168"/>
      <c r="D926" s="168"/>
      <c r="E926" s="168"/>
      <c r="F926" s="168"/>
      <c r="G926" s="168"/>
      <c r="H926" s="168"/>
      <c r="I926" s="168"/>
      <c r="J926" s="168"/>
      <c r="K926" s="168"/>
      <c r="L926" s="168"/>
      <c r="M926" s="168"/>
      <c r="P926" s="168"/>
      <c r="Q926" s="168"/>
    </row>
    <row r="927">
      <c r="A927" s="168"/>
      <c r="B927" s="168"/>
      <c r="C927" s="168"/>
      <c r="D927" s="168"/>
      <c r="E927" s="168"/>
      <c r="F927" s="168"/>
      <c r="G927" s="168"/>
      <c r="H927" s="168"/>
      <c r="I927" s="168"/>
      <c r="J927" s="168"/>
      <c r="K927" s="168"/>
      <c r="L927" s="168"/>
      <c r="M927" s="168"/>
      <c r="P927" s="168"/>
      <c r="Q927" s="168"/>
    </row>
    <row r="928">
      <c r="A928" s="168"/>
      <c r="B928" s="168"/>
      <c r="C928" s="168"/>
      <c r="D928" s="168"/>
      <c r="E928" s="168"/>
      <c r="F928" s="168"/>
      <c r="G928" s="168"/>
      <c r="H928" s="168"/>
      <c r="I928" s="168"/>
      <c r="J928" s="168"/>
      <c r="K928" s="168"/>
      <c r="L928" s="168"/>
      <c r="M928" s="168"/>
      <c r="P928" s="168"/>
      <c r="Q928" s="168"/>
    </row>
    <row r="929">
      <c r="A929" s="168"/>
      <c r="B929" s="168"/>
      <c r="C929" s="168"/>
      <c r="D929" s="168"/>
      <c r="E929" s="168"/>
      <c r="F929" s="168"/>
      <c r="G929" s="168"/>
      <c r="H929" s="168"/>
      <c r="I929" s="168"/>
      <c r="J929" s="168"/>
      <c r="K929" s="168"/>
      <c r="L929" s="168"/>
      <c r="M929" s="168"/>
      <c r="P929" s="168"/>
      <c r="Q929" s="168"/>
    </row>
    <row r="930">
      <c r="A930" s="168"/>
      <c r="B930" s="168"/>
      <c r="C930" s="168"/>
      <c r="D930" s="168"/>
      <c r="E930" s="168"/>
      <c r="F930" s="168"/>
      <c r="G930" s="168"/>
      <c r="H930" s="168"/>
      <c r="I930" s="168"/>
      <c r="J930" s="168"/>
      <c r="K930" s="168"/>
      <c r="L930" s="168"/>
      <c r="M930" s="168"/>
      <c r="P930" s="168"/>
      <c r="Q930" s="168"/>
    </row>
    <row r="931">
      <c r="A931" s="168"/>
      <c r="B931" s="168"/>
      <c r="C931" s="168"/>
      <c r="D931" s="168"/>
      <c r="E931" s="168"/>
      <c r="F931" s="168"/>
      <c r="G931" s="168"/>
      <c r="H931" s="168"/>
      <c r="I931" s="168"/>
      <c r="J931" s="168"/>
      <c r="K931" s="168"/>
      <c r="L931" s="168"/>
      <c r="M931" s="168"/>
      <c r="P931" s="168"/>
      <c r="Q931" s="168"/>
    </row>
    <row r="932">
      <c r="A932" s="168"/>
      <c r="B932" s="168"/>
      <c r="C932" s="168"/>
      <c r="D932" s="168"/>
      <c r="E932" s="168"/>
      <c r="F932" s="168"/>
      <c r="G932" s="168"/>
      <c r="H932" s="168"/>
      <c r="I932" s="168"/>
      <c r="J932" s="168"/>
      <c r="K932" s="168"/>
      <c r="L932" s="168"/>
      <c r="M932" s="168"/>
      <c r="P932" s="168"/>
      <c r="Q932" s="168"/>
    </row>
    <row r="933">
      <c r="A933" s="168"/>
      <c r="B933" s="168"/>
      <c r="C933" s="168"/>
      <c r="D933" s="168"/>
      <c r="E933" s="168"/>
      <c r="F933" s="168"/>
      <c r="G933" s="168"/>
      <c r="H933" s="168"/>
      <c r="I933" s="168"/>
      <c r="J933" s="168"/>
      <c r="K933" s="168"/>
      <c r="L933" s="168"/>
      <c r="M933" s="168"/>
      <c r="P933" s="168"/>
      <c r="Q933" s="168"/>
    </row>
    <row r="934">
      <c r="A934" s="168"/>
      <c r="B934" s="168"/>
      <c r="C934" s="168"/>
      <c r="D934" s="168"/>
      <c r="E934" s="168"/>
      <c r="F934" s="168"/>
      <c r="G934" s="168"/>
      <c r="H934" s="168"/>
      <c r="I934" s="168"/>
      <c r="J934" s="168"/>
      <c r="K934" s="168"/>
      <c r="L934" s="168"/>
      <c r="M934" s="168"/>
      <c r="P934" s="168"/>
      <c r="Q934" s="168"/>
    </row>
    <row r="935">
      <c r="A935" s="168"/>
      <c r="B935" s="168"/>
      <c r="C935" s="168"/>
      <c r="D935" s="168"/>
      <c r="E935" s="168"/>
      <c r="F935" s="168"/>
      <c r="G935" s="168"/>
      <c r="H935" s="168"/>
      <c r="I935" s="168"/>
      <c r="J935" s="168"/>
      <c r="K935" s="168"/>
      <c r="L935" s="168"/>
      <c r="M935" s="168"/>
      <c r="P935" s="168"/>
      <c r="Q935" s="168"/>
    </row>
    <row r="936">
      <c r="A936" s="168"/>
      <c r="B936" s="168"/>
      <c r="C936" s="168"/>
      <c r="D936" s="168"/>
      <c r="E936" s="168"/>
      <c r="F936" s="168"/>
      <c r="G936" s="168"/>
      <c r="H936" s="168"/>
      <c r="I936" s="168"/>
      <c r="J936" s="168"/>
      <c r="K936" s="168"/>
      <c r="L936" s="168"/>
      <c r="M936" s="168"/>
      <c r="P936" s="168"/>
      <c r="Q936" s="168"/>
    </row>
    <row r="937">
      <c r="A937" s="168"/>
      <c r="B937" s="168"/>
      <c r="C937" s="168"/>
      <c r="D937" s="168"/>
      <c r="E937" s="168"/>
      <c r="F937" s="168"/>
      <c r="G937" s="168"/>
      <c r="H937" s="168"/>
      <c r="I937" s="168"/>
      <c r="J937" s="168"/>
      <c r="K937" s="168"/>
      <c r="L937" s="168"/>
      <c r="M937" s="168"/>
      <c r="P937" s="168"/>
      <c r="Q937" s="168"/>
    </row>
    <row r="938">
      <c r="A938" s="168"/>
      <c r="B938" s="168"/>
      <c r="C938" s="168"/>
      <c r="D938" s="168"/>
      <c r="E938" s="168"/>
      <c r="F938" s="168"/>
      <c r="G938" s="168"/>
      <c r="H938" s="168"/>
      <c r="I938" s="168"/>
      <c r="J938" s="168"/>
      <c r="K938" s="168"/>
      <c r="L938" s="168"/>
      <c r="M938" s="168"/>
      <c r="P938" s="168"/>
      <c r="Q938" s="168"/>
    </row>
    <row r="939">
      <c r="A939" s="168"/>
      <c r="B939" s="168"/>
      <c r="C939" s="168"/>
      <c r="D939" s="168"/>
      <c r="E939" s="168"/>
      <c r="F939" s="168"/>
      <c r="G939" s="168"/>
      <c r="H939" s="168"/>
      <c r="I939" s="168"/>
      <c r="J939" s="168"/>
      <c r="K939" s="168"/>
      <c r="L939" s="168"/>
      <c r="M939" s="168"/>
      <c r="P939" s="168"/>
      <c r="Q939" s="168"/>
    </row>
    <row r="940">
      <c r="A940" s="168"/>
      <c r="B940" s="168"/>
      <c r="C940" s="168"/>
      <c r="D940" s="168"/>
      <c r="E940" s="168"/>
      <c r="F940" s="168"/>
      <c r="G940" s="168"/>
      <c r="H940" s="168"/>
      <c r="I940" s="168"/>
      <c r="J940" s="168"/>
      <c r="K940" s="168"/>
      <c r="L940" s="168"/>
      <c r="M940" s="168"/>
      <c r="P940" s="168"/>
      <c r="Q940" s="168"/>
    </row>
    <row r="941">
      <c r="A941" s="168"/>
      <c r="B941" s="168"/>
      <c r="C941" s="168"/>
      <c r="D941" s="168"/>
      <c r="E941" s="168"/>
      <c r="F941" s="168"/>
      <c r="G941" s="168"/>
      <c r="H941" s="168"/>
      <c r="I941" s="168"/>
      <c r="J941" s="168"/>
      <c r="K941" s="168"/>
      <c r="L941" s="168"/>
      <c r="M941" s="168"/>
      <c r="P941" s="168"/>
      <c r="Q941" s="168"/>
    </row>
    <row r="942">
      <c r="A942" s="168"/>
      <c r="B942" s="168"/>
      <c r="C942" s="168"/>
      <c r="D942" s="168"/>
      <c r="E942" s="168"/>
      <c r="F942" s="168"/>
      <c r="G942" s="168"/>
      <c r="H942" s="168"/>
      <c r="I942" s="168"/>
      <c r="J942" s="168"/>
      <c r="K942" s="168"/>
      <c r="L942" s="168"/>
      <c r="M942" s="168"/>
      <c r="P942" s="168"/>
      <c r="Q942" s="168"/>
    </row>
    <row r="943">
      <c r="A943" s="168"/>
      <c r="B943" s="168"/>
      <c r="C943" s="168"/>
      <c r="D943" s="168"/>
      <c r="E943" s="168"/>
      <c r="F943" s="168"/>
      <c r="G943" s="168"/>
      <c r="H943" s="168"/>
      <c r="I943" s="168"/>
      <c r="J943" s="168"/>
      <c r="K943" s="168"/>
      <c r="L943" s="168"/>
      <c r="M943" s="168"/>
      <c r="P943" s="168"/>
      <c r="Q943" s="168"/>
    </row>
    <row r="944">
      <c r="A944" s="168"/>
      <c r="B944" s="168"/>
      <c r="C944" s="168"/>
      <c r="D944" s="168"/>
      <c r="E944" s="168"/>
      <c r="F944" s="168"/>
      <c r="G944" s="168"/>
      <c r="H944" s="168"/>
      <c r="I944" s="168"/>
      <c r="J944" s="168"/>
      <c r="K944" s="168"/>
      <c r="L944" s="168"/>
      <c r="M944" s="168"/>
      <c r="P944" s="168"/>
      <c r="Q944" s="168"/>
    </row>
    <row r="945">
      <c r="A945" s="168"/>
      <c r="B945" s="168"/>
      <c r="C945" s="168"/>
      <c r="D945" s="168"/>
      <c r="E945" s="168"/>
      <c r="F945" s="168"/>
      <c r="G945" s="168"/>
      <c r="H945" s="168"/>
      <c r="I945" s="168"/>
      <c r="J945" s="168"/>
      <c r="K945" s="168"/>
      <c r="L945" s="168"/>
      <c r="M945" s="168"/>
      <c r="P945" s="168"/>
      <c r="Q945" s="168"/>
    </row>
    <row r="946">
      <c r="A946" s="168"/>
      <c r="B946" s="168"/>
      <c r="C946" s="168"/>
      <c r="D946" s="168"/>
      <c r="E946" s="168"/>
      <c r="F946" s="168"/>
      <c r="G946" s="168"/>
      <c r="H946" s="168"/>
      <c r="I946" s="168"/>
      <c r="J946" s="168"/>
      <c r="K946" s="168"/>
      <c r="L946" s="168"/>
      <c r="M946" s="168"/>
      <c r="P946" s="168"/>
      <c r="Q946" s="168"/>
    </row>
    <row r="947">
      <c r="A947" s="168"/>
      <c r="B947" s="168"/>
      <c r="C947" s="168"/>
      <c r="D947" s="168"/>
      <c r="E947" s="168"/>
      <c r="F947" s="168"/>
      <c r="G947" s="168"/>
      <c r="H947" s="168"/>
      <c r="I947" s="168"/>
      <c r="J947" s="168"/>
      <c r="K947" s="168"/>
      <c r="L947" s="168"/>
      <c r="M947" s="168"/>
      <c r="P947" s="168"/>
      <c r="Q947" s="168"/>
    </row>
    <row r="948">
      <c r="A948" s="168"/>
      <c r="B948" s="168"/>
      <c r="C948" s="168"/>
      <c r="D948" s="168"/>
      <c r="E948" s="168"/>
      <c r="F948" s="168"/>
      <c r="G948" s="168"/>
      <c r="H948" s="168"/>
      <c r="I948" s="168"/>
      <c r="J948" s="168"/>
      <c r="K948" s="168"/>
      <c r="L948" s="168"/>
      <c r="M948" s="168"/>
      <c r="P948" s="168"/>
      <c r="Q948" s="168"/>
    </row>
    <row r="949">
      <c r="A949" s="168"/>
      <c r="B949" s="168"/>
      <c r="C949" s="168"/>
      <c r="D949" s="168"/>
      <c r="E949" s="168"/>
      <c r="F949" s="168"/>
      <c r="G949" s="168"/>
      <c r="H949" s="168"/>
      <c r="I949" s="168"/>
      <c r="J949" s="168"/>
      <c r="K949" s="168"/>
      <c r="L949" s="168"/>
      <c r="M949" s="168"/>
      <c r="P949" s="168"/>
      <c r="Q949" s="168"/>
    </row>
    <row r="950">
      <c r="A950" s="168"/>
      <c r="B950" s="168"/>
      <c r="C950" s="168"/>
      <c r="D950" s="168"/>
      <c r="E950" s="168"/>
      <c r="F950" s="168"/>
      <c r="G950" s="168"/>
      <c r="H950" s="168"/>
      <c r="I950" s="168"/>
      <c r="J950" s="168"/>
      <c r="K950" s="168"/>
      <c r="L950" s="168"/>
      <c r="M950" s="168"/>
      <c r="P950" s="168"/>
      <c r="Q950" s="168"/>
    </row>
    <row r="951">
      <c r="A951" s="168"/>
      <c r="B951" s="168"/>
      <c r="C951" s="168"/>
      <c r="D951" s="168"/>
      <c r="E951" s="168"/>
      <c r="F951" s="168"/>
      <c r="G951" s="168"/>
      <c r="H951" s="168"/>
      <c r="I951" s="168"/>
      <c r="J951" s="168"/>
      <c r="K951" s="168"/>
      <c r="L951" s="168"/>
      <c r="M951" s="168"/>
      <c r="P951" s="168"/>
      <c r="Q951" s="168"/>
    </row>
    <row r="952">
      <c r="A952" s="168"/>
      <c r="B952" s="168"/>
      <c r="C952" s="168"/>
      <c r="D952" s="168"/>
      <c r="E952" s="168"/>
      <c r="F952" s="168"/>
      <c r="G952" s="168"/>
      <c r="H952" s="168"/>
      <c r="I952" s="168"/>
      <c r="J952" s="168"/>
      <c r="K952" s="168"/>
      <c r="L952" s="168"/>
      <c r="M952" s="168"/>
      <c r="P952" s="168"/>
      <c r="Q952" s="168"/>
    </row>
    <row r="953">
      <c r="A953" s="168"/>
      <c r="B953" s="168"/>
      <c r="C953" s="168"/>
      <c r="D953" s="168"/>
      <c r="E953" s="168"/>
      <c r="F953" s="168"/>
      <c r="G953" s="168"/>
      <c r="H953" s="168"/>
      <c r="I953" s="168"/>
      <c r="J953" s="168"/>
      <c r="K953" s="168"/>
      <c r="L953" s="168"/>
      <c r="M953" s="168"/>
      <c r="P953" s="168"/>
      <c r="Q953" s="168"/>
    </row>
    <row r="954">
      <c r="A954" s="168"/>
      <c r="B954" s="168"/>
      <c r="C954" s="168"/>
      <c r="D954" s="168"/>
      <c r="E954" s="168"/>
      <c r="F954" s="168"/>
      <c r="G954" s="168"/>
      <c r="H954" s="168"/>
      <c r="I954" s="168"/>
      <c r="J954" s="168"/>
      <c r="K954" s="168"/>
      <c r="L954" s="168"/>
      <c r="M954" s="168"/>
      <c r="P954" s="168"/>
      <c r="Q954" s="168"/>
    </row>
    <row r="955">
      <c r="A955" s="168"/>
      <c r="B955" s="168"/>
      <c r="C955" s="168"/>
      <c r="D955" s="168"/>
      <c r="E955" s="168"/>
      <c r="F955" s="168"/>
      <c r="G955" s="168"/>
      <c r="H955" s="168"/>
      <c r="I955" s="168"/>
      <c r="J955" s="168"/>
      <c r="K955" s="168"/>
      <c r="L955" s="168"/>
      <c r="M955" s="168"/>
      <c r="P955" s="168"/>
      <c r="Q955" s="168"/>
    </row>
    <row r="956">
      <c r="A956" s="168"/>
      <c r="B956" s="168"/>
      <c r="C956" s="168"/>
      <c r="D956" s="168"/>
      <c r="E956" s="168"/>
      <c r="F956" s="168"/>
      <c r="G956" s="168"/>
      <c r="H956" s="168"/>
      <c r="I956" s="168"/>
      <c r="J956" s="168"/>
      <c r="K956" s="168"/>
      <c r="L956" s="168"/>
      <c r="M956" s="168"/>
      <c r="P956" s="168"/>
      <c r="Q956" s="168"/>
    </row>
    <row r="957">
      <c r="A957" s="168"/>
      <c r="B957" s="168"/>
      <c r="C957" s="168"/>
      <c r="D957" s="168"/>
      <c r="E957" s="168"/>
      <c r="F957" s="168"/>
      <c r="G957" s="168"/>
      <c r="H957" s="168"/>
      <c r="I957" s="168"/>
      <c r="J957" s="168"/>
      <c r="K957" s="168"/>
      <c r="L957" s="168"/>
      <c r="M957" s="168"/>
      <c r="P957" s="168"/>
      <c r="Q957" s="168"/>
    </row>
    <row r="958">
      <c r="A958" s="168"/>
      <c r="B958" s="168"/>
      <c r="C958" s="168"/>
      <c r="D958" s="168"/>
      <c r="E958" s="168"/>
      <c r="F958" s="168"/>
      <c r="G958" s="168"/>
      <c r="H958" s="168"/>
      <c r="I958" s="168"/>
      <c r="J958" s="168"/>
      <c r="K958" s="168"/>
      <c r="L958" s="168"/>
      <c r="M958" s="168"/>
      <c r="P958" s="168"/>
      <c r="Q958" s="168"/>
    </row>
    <row r="959">
      <c r="A959" s="168"/>
      <c r="B959" s="168"/>
      <c r="C959" s="168"/>
      <c r="D959" s="168"/>
      <c r="E959" s="168"/>
      <c r="F959" s="168"/>
      <c r="G959" s="168"/>
      <c r="H959" s="168"/>
      <c r="I959" s="168"/>
      <c r="J959" s="168"/>
      <c r="K959" s="168"/>
      <c r="L959" s="168"/>
      <c r="M959" s="168"/>
      <c r="P959" s="168"/>
      <c r="Q959" s="168"/>
    </row>
    <row r="960">
      <c r="A960" s="168"/>
      <c r="B960" s="168"/>
      <c r="C960" s="168"/>
      <c r="D960" s="168"/>
      <c r="E960" s="168"/>
      <c r="F960" s="168"/>
      <c r="G960" s="168"/>
      <c r="H960" s="168"/>
      <c r="I960" s="168"/>
      <c r="J960" s="168"/>
      <c r="K960" s="168"/>
      <c r="L960" s="168"/>
      <c r="M960" s="168"/>
      <c r="P960" s="168"/>
      <c r="Q960" s="168"/>
    </row>
    <row r="961">
      <c r="A961" s="168"/>
      <c r="B961" s="168"/>
      <c r="C961" s="168"/>
      <c r="D961" s="168"/>
      <c r="E961" s="168"/>
      <c r="F961" s="168"/>
      <c r="G961" s="168"/>
      <c r="H961" s="168"/>
      <c r="I961" s="168"/>
      <c r="J961" s="168"/>
      <c r="K961" s="168"/>
      <c r="L961" s="168"/>
      <c r="M961" s="168"/>
      <c r="P961" s="168"/>
      <c r="Q961" s="168"/>
    </row>
    <row r="962">
      <c r="A962" s="168"/>
      <c r="B962" s="168"/>
      <c r="C962" s="168"/>
      <c r="D962" s="168"/>
      <c r="E962" s="168"/>
      <c r="F962" s="168"/>
      <c r="G962" s="168"/>
      <c r="H962" s="168"/>
      <c r="I962" s="168"/>
      <c r="J962" s="168"/>
      <c r="K962" s="168"/>
      <c r="L962" s="168"/>
      <c r="M962" s="168"/>
      <c r="P962" s="168"/>
      <c r="Q962" s="168"/>
    </row>
    <row r="963">
      <c r="A963" s="168"/>
      <c r="B963" s="168"/>
      <c r="C963" s="168"/>
      <c r="D963" s="168"/>
      <c r="E963" s="168"/>
      <c r="F963" s="168"/>
      <c r="G963" s="168"/>
      <c r="H963" s="168"/>
      <c r="I963" s="168"/>
      <c r="J963" s="168"/>
      <c r="K963" s="168"/>
      <c r="L963" s="168"/>
      <c r="M963" s="168"/>
      <c r="P963" s="168"/>
      <c r="Q963" s="168"/>
    </row>
    <row r="964">
      <c r="A964" s="168"/>
      <c r="B964" s="168"/>
      <c r="C964" s="168"/>
      <c r="D964" s="168"/>
      <c r="E964" s="168"/>
      <c r="F964" s="168"/>
      <c r="G964" s="168"/>
      <c r="H964" s="168"/>
      <c r="I964" s="168"/>
      <c r="J964" s="168"/>
      <c r="K964" s="168"/>
      <c r="L964" s="168"/>
      <c r="M964" s="168"/>
      <c r="P964" s="168"/>
      <c r="Q964" s="168"/>
    </row>
    <row r="965">
      <c r="A965" s="168"/>
      <c r="B965" s="168"/>
      <c r="C965" s="168"/>
      <c r="D965" s="168"/>
      <c r="E965" s="168"/>
      <c r="F965" s="168"/>
      <c r="G965" s="168"/>
      <c r="H965" s="168"/>
      <c r="I965" s="168"/>
      <c r="J965" s="168"/>
      <c r="K965" s="168"/>
      <c r="L965" s="168"/>
      <c r="M965" s="168"/>
      <c r="P965" s="168"/>
      <c r="Q965" s="168"/>
    </row>
    <row r="966">
      <c r="A966" s="168"/>
      <c r="B966" s="168"/>
      <c r="C966" s="168"/>
      <c r="D966" s="168"/>
      <c r="E966" s="168"/>
      <c r="F966" s="168"/>
      <c r="G966" s="168"/>
      <c r="H966" s="168"/>
      <c r="I966" s="168"/>
      <c r="J966" s="168"/>
      <c r="K966" s="168"/>
      <c r="L966" s="168"/>
      <c r="M966" s="168"/>
      <c r="P966" s="168"/>
      <c r="Q966" s="168"/>
    </row>
    <row r="967">
      <c r="A967" s="168"/>
      <c r="B967" s="168"/>
      <c r="C967" s="168"/>
      <c r="D967" s="168"/>
      <c r="E967" s="168"/>
      <c r="F967" s="168"/>
      <c r="G967" s="168"/>
      <c r="H967" s="168"/>
      <c r="I967" s="168"/>
      <c r="J967" s="168"/>
      <c r="K967" s="168"/>
      <c r="L967" s="168"/>
      <c r="M967" s="168"/>
      <c r="P967" s="168"/>
      <c r="Q967" s="168"/>
    </row>
    <row r="968">
      <c r="A968" s="168"/>
      <c r="B968" s="168"/>
      <c r="C968" s="168"/>
      <c r="D968" s="168"/>
      <c r="E968" s="168"/>
      <c r="F968" s="168"/>
      <c r="G968" s="168"/>
      <c r="H968" s="168"/>
      <c r="I968" s="168"/>
      <c r="J968" s="168"/>
      <c r="K968" s="168"/>
      <c r="L968" s="168"/>
      <c r="M968" s="168"/>
      <c r="P968" s="168"/>
      <c r="Q968" s="168"/>
    </row>
    <row r="969">
      <c r="A969" s="168"/>
      <c r="B969" s="168"/>
      <c r="C969" s="168"/>
      <c r="D969" s="168"/>
      <c r="E969" s="168"/>
      <c r="F969" s="168"/>
      <c r="G969" s="168"/>
      <c r="H969" s="168"/>
      <c r="I969" s="168"/>
      <c r="J969" s="168"/>
      <c r="K969" s="168"/>
      <c r="L969" s="168"/>
      <c r="M969" s="168"/>
      <c r="P969" s="168"/>
      <c r="Q969" s="168"/>
    </row>
    <row r="970">
      <c r="A970" s="168"/>
      <c r="B970" s="168"/>
      <c r="C970" s="168"/>
      <c r="D970" s="168"/>
      <c r="E970" s="168"/>
      <c r="F970" s="168"/>
      <c r="G970" s="168"/>
      <c r="H970" s="168"/>
      <c r="I970" s="168"/>
      <c r="J970" s="168"/>
      <c r="K970" s="168"/>
      <c r="L970" s="168"/>
      <c r="M970" s="168"/>
      <c r="P970" s="168"/>
      <c r="Q970" s="168"/>
    </row>
    <row r="971">
      <c r="A971" s="168"/>
      <c r="B971" s="168"/>
      <c r="C971" s="168"/>
      <c r="D971" s="168"/>
      <c r="E971" s="168"/>
      <c r="F971" s="168"/>
      <c r="G971" s="168"/>
      <c r="H971" s="168"/>
      <c r="I971" s="168"/>
      <c r="J971" s="168"/>
      <c r="K971" s="168"/>
      <c r="L971" s="168"/>
      <c r="M971" s="168"/>
      <c r="P971" s="168"/>
      <c r="Q971" s="168"/>
    </row>
    <row r="972">
      <c r="A972" s="168"/>
      <c r="B972" s="168"/>
      <c r="C972" s="168"/>
      <c r="D972" s="168"/>
      <c r="E972" s="168"/>
      <c r="F972" s="168"/>
      <c r="G972" s="168"/>
      <c r="H972" s="168"/>
      <c r="I972" s="168"/>
      <c r="J972" s="168"/>
      <c r="K972" s="168"/>
      <c r="L972" s="168"/>
      <c r="M972" s="168"/>
      <c r="P972" s="168"/>
      <c r="Q972" s="168"/>
    </row>
    <row r="973">
      <c r="A973" s="168"/>
      <c r="B973" s="168"/>
      <c r="C973" s="168"/>
      <c r="D973" s="168"/>
      <c r="E973" s="168"/>
      <c r="F973" s="168"/>
      <c r="G973" s="168"/>
      <c r="H973" s="168"/>
      <c r="I973" s="168"/>
      <c r="J973" s="168"/>
      <c r="K973" s="168"/>
      <c r="L973" s="168"/>
      <c r="M973" s="168"/>
      <c r="P973" s="168"/>
      <c r="Q973" s="168"/>
    </row>
    <row r="974">
      <c r="A974" s="168"/>
      <c r="B974" s="168"/>
      <c r="C974" s="168"/>
      <c r="D974" s="168"/>
      <c r="E974" s="168"/>
      <c r="F974" s="168"/>
      <c r="G974" s="168"/>
      <c r="H974" s="168"/>
      <c r="I974" s="168"/>
      <c r="J974" s="168"/>
      <c r="K974" s="168"/>
      <c r="L974" s="168"/>
      <c r="M974" s="168"/>
      <c r="P974" s="168"/>
      <c r="Q974" s="168"/>
    </row>
    <row r="975">
      <c r="A975" s="168"/>
      <c r="B975" s="168"/>
      <c r="C975" s="168"/>
      <c r="D975" s="168"/>
      <c r="E975" s="168"/>
      <c r="F975" s="168"/>
      <c r="G975" s="168"/>
      <c r="H975" s="168"/>
      <c r="I975" s="168"/>
      <c r="J975" s="168"/>
      <c r="K975" s="168"/>
      <c r="L975" s="168"/>
      <c r="M975" s="168"/>
      <c r="P975" s="168"/>
      <c r="Q975" s="168"/>
    </row>
    <row r="976">
      <c r="A976" s="168"/>
      <c r="B976" s="168"/>
      <c r="C976" s="168"/>
      <c r="D976" s="168"/>
      <c r="E976" s="168"/>
      <c r="F976" s="168"/>
      <c r="G976" s="168"/>
      <c r="H976" s="168"/>
      <c r="I976" s="168"/>
      <c r="J976" s="168"/>
      <c r="K976" s="168"/>
      <c r="L976" s="168"/>
      <c r="M976" s="168"/>
      <c r="P976" s="168"/>
      <c r="Q976" s="168"/>
    </row>
    <row r="977">
      <c r="A977" s="168"/>
      <c r="B977" s="168"/>
      <c r="C977" s="168"/>
      <c r="D977" s="168"/>
      <c r="E977" s="168"/>
      <c r="F977" s="168"/>
      <c r="G977" s="168"/>
      <c r="H977" s="168"/>
      <c r="I977" s="168"/>
      <c r="J977" s="168"/>
      <c r="K977" s="168"/>
      <c r="L977" s="168"/>
      <c r="M977" s="168"/>
      <c r="P977" s="168"/>
      <c r="Q977" s="168"/>
    </row>
    <row r="978">
      <c r="A978" s="168"/>
      <c r="B978" s="168"/>
      <c r="C978" s="168"/>
      <c r="D978" s="168"/>
      <c r="E978" s="168"/>
      <c r="F978" s="168"/>
      <c r="G978" s="168"/>
      <c r="H978" s="168"/>
      <c r="I978" s="168"/>
      <c r="J978" s="168"/>
      <c r="K978" s="168"/>
      <c r="L978" s="168"/>
      <c r="M978" s="168"/>
      <c r="P978" s="168"/>
      <c r="Q978" s="168"/>
    </row>
    <row r="979">
      <c r="A979" s="168"/>
      <c r="B979" s="168"/>
      <c r="C979" s="168"/>
      <c r="D979" s="168"/>
      <c r="E979" s="168"/>
      <c r="F979" s="168"/>
      <c r="G979" s="168"/>
      <c r="H979" s="168"/>
      <c r="I979" s="168"/>
      <c r="J979" s="168"/>
      <c r="K979" s="168"/>
      <c r="L979" s="168"/>
      <c r="M979" s="168"/>
      <c r="P979" s="168"/>
      <c r="Q979" s="168"/>
    </row>
    <row r="980">
      <c r="A980" s="168"/>
      <c r="B980" s="168"/>
      <c r="C980" s="168"/>
      <c r="D980" s="168"/>
      <c r="E980" s="168"/>
      <c r="F980" s="168"/>
      <c r="G980" s="168"/>
      <c r="H980" s="168"/>
      <c r="I980" s="168"/>
      <c r="J980" s="168"/>
      <c r="K980" s="168"/>
      <c r="L980" s="168"/>
      <c r="M980" s="168"/>
      <c r="P980" s="168"/>
      <c r="Q980" s="168"/>
    </row>
    <row r="981">
      <c r="A981" s="168"/>
      <c r="B981" s="168"/>
      <c r="C981" s="168"/>
      <c r="D981" s="168"/>
      <c r="E981" s="168"/>
      <c r="F981" s="168"/>
      <c r="G981" s="168"/>
      <c r="H981" s="168"/>
      <c r="I981" s="168"/>
      <c r="J981" s="168"/>
      <c r="K981" s="168"/>
      <c r="L981" s="168"/>
      <c r="M981" s="168"/>
      <c r="P981" s="168"/>
      <c r="Q981" s="168"/>
    </row>
    <row r="982">
      <c r="A982" s="168"/>
      <c r="B982" s="168"/>
      <c r="C982" s="168"/>
      <c r="D982" s="168"/>
      <c r="E982" s="168"/>
      <c r="F982" s="168"/>
      <c r="G982" s="168"/>
      <c r="H982" s="168"/>
      <c r="I982" s="168"/>
      <c r="J982" s="168"/>
      <c r="K982" s="168"/>
      <c r="L982" s="168"/>
      <c r="M982" s="168"/>
      <c r="P982" s="168"/>
      <c r="Q982" s="168"/>
    </row>
    <row r="983">
      <c r="A983" s="168"/>
      <c r="B983" s="168"/>
      <c r="C983" s="168"/>
      <c r="D983" s="168"/>
      <c r="E983" s="168"/>
      <c r="F983" s="168"/>
      <c r="G983" s="168"/>
      <c r="H983" s="168"/>
      <c r="I983" s="168"/>
      <c r="J983" s="168"/>
      <c r="K983" s="168"/>
      <c r="L983" s="168"/>
      <c r="M983" s="168"/>
      <c r="P983" s="168"/>
      <c r="Q983" s="168"/>
    </row>
    <row r="984">
      <c r="A984" s="168"/>
      <c r="B984" s="168"/>
      <c r="C984" s="168"/>
      <c r="D984" s="168"/>
      <c r="E984" s="168"/>
      <c r="F984" s="168"/>
      <c r="G984" s="168"/>
      <c r="H984" s="168"/>
      <c r="I984" s="168"/>
      <c r="J984" s="168"/>
      <c r="K984" s="168"/>
      <c r="L984" s="168"/>
      <c r="M984" s="168"/>
      <c r="P984" s="168"/>
      <c r="Q984" s="168"/>
    </row>
    <row r="985">
      <c r="A985" s="168"/>
      <c r="B985" s="168"/>
      <c r="C985" s="168"/>
      <c r="D985" s="168"/>
      <c r="E985" s="168"/>
      <c r="F985" s="168"/>
      <c r="G985" s="168"/>
      <c r="H985" s="168"/>
      <c r="I985" s="168"/>
      <c r="J985" s="168"/>
      <c r="K985" s="168"/>
      <c r="L985" s="168"/>
      <c r="M985" s="168"/>
      <c r="P985" s="168"/>
      <c r="Q985" s="168"/>
    </row>
    <row r="986">
      <c r="A986" s="168"/>
      <c r="B986" s="168"/>
      <c r="C986" s="168"/>
      <c r="D986" s="168"/>
      <c r="E986" s="168"/>
      <c r="F986" s="168"/>
      <c r="G986" s="168"/>
      <c r="H986" s="168"/>
      <c r="I986" s="168"/>
      <c r="J986" s="168"/>
      <c r="K986" s="168"/>
      <c r="L986" s="168"/>
      <c r="M986" s="168"/>
      <c r="P986" s="168"/>
      <c r="Q986" s="168"/>
    </row>
    <row r="987">
      <c r="A987" s="168"/>
      <c r="B987" s="168"/>
      <c r="C987" s="168"/>
      <c r="D987" s="168"/>
      <c r="E987" s="168"/>
      <c r="F987" s="168"/>
      <c r="G987" s="168"/>
      <c r="H987" s="168"/>
      <c r="I987" s="168"/>
      <c r="J987" s="168"/>
      <c r="K987" s="168"/>
      <c r="L987" s="168"/>
      <c r="M987" s="168"/>
      <c r="P987" s="168"/>
      <c r="Q987" s="168"/>
    </row>
    <row r="988">
      <c r="A988" s="168"/>
      <c r="B988" s="168"/>
      <c r="C988" s="168"/>
      <c r="D988" s="168"/>
      <c r="E988" s="168"/>
      <c r="F988" s="168"/>
      <c r="G988" s="168"/>
      <c r="H988" s="168"/>
      <c r="I988" s="168"/>
      <c r="J988" s="168"/>
      <c r="K988" s="168"/>
      <c r="L988" s="168"/>
      <c r="M988" s="168"/>
      <c r="P988" s="168"/>
      <c r="Q988" s="168"/>
    </row>
    <row r="989">
      <c r="A989" s="168"/>
      <c r="B989" s="168"/>
      <c r="C989" s="168"/>
      <c r="D989" s="168"/>
      <c r="E989" s="168"/>
      <c r="F989" s="168"/>
      <c r="G989" s="168"/>
      <c r="H989" s="168"/>
      <c r="I989" s="168"/>
      <c r="J989" s="168"/>
      <c r="K989" s="168"/>
      <c r="L989" s="168"/>
      <c r="M989" s="168"/>
      <c r="P989" s="168"/>
      <c r="Q989" s="168"/>
    </row>
    <row r="990">
      <c r="A990" s="168"/>
      <c r="B990" s="168"/>
      <c r="C990" s="168"/>
      <c r="D990" s="168"/>
      <c r="E990" s="168"/>
      <c r="F990" s="168"/>
      <c r="G990" s="168"/>
      <c r="H990" s="168"/>
      <c r="I990" s="168"/>
      <c r="J990" s="168"/>
      <c r="K990" s="168"/>
      <c r="L990" s="168"/>
      <c r="M990" s="168"/>
      <c r="P990" s="168"/>
      <c r="Q990" s="168"/>
    </row>
    <row r="991">
      <c r="A991" s="168"/>
      <c r="B991" s="168"/>
      <c r="C991" s="168"/>
      <c r="D991" s="168"/>
      <c r="E991" s="168"/>
      <c r="F991" s="168"/>
      <c r="G991" s="168"/>
      <c r="H991" s="168"/>
      <c r="I991" s="168"/>
      <c r="J991" s="168"/>
      <c r="K991" s="168"/>
      <c r="L991" s="168"/>
      <c r="M991" s="168"/>
      <c r="P991" s="168"/>
      <c r="Q991" s="168"/>
    </row>
    <row r="992">
      <c r="A992" s="168"/>
      <c r="B992" s="168"/>
      <c r="C992" s="168"/>
      <c r="D992" s="168"/>
      <c r="E992" s="168"/>
      <c r="F992" s="168"/>
      <c r="G992" s="168"/>
      <c r="H992" s="168"/>
      <c r="I992" s="168"/>
      <c r="J992" s="168"/>
      <c r="K992" s="168"/>
      <c r="L992" s="168"/>
      <c r="M992" s="168"/>
      <c r="P992" s="168"/>
      <c r="Q992" s="168"/>
    </row>
    <row r="993">
      <c r="A993" s="168"/>
      <c r="B993" s="168"/>
      <c r="C993" s="168"/>
      <c r="D993" s="168"/>
      <c r="E993" s="168"/>
      <c r="F993" s="168"/>
      <c r="G993" s="168"/>
      <c r="H993" s="168"/>
      <c r="I993" s="168"/>
      <c r="J993" s="168"/>
      <c r="K993" s="168"/>
      <c r="L993" s="168"/>
      <c r="M993" s="168"/>
      <c r="P993" s="168"/>
      <c r="Q993" s="168"/>
    </row>
    <row r="994">
      <c r="A994" s="168"/>
      <c r="B994" s="168"/>
      <c r="C994" s="168"/>
      <c r="D994" s="168"/>
      <c r="E994" s="168"/>
      <c r="F994" s="168"/>
      <c r="G994" s="168"/>
      <c r="H994" s="168"/>
      <c r="I994" s="168"/>
      <c r="J994" s="168"/>
      <c r="K994" s="168"/>
      <c r="L994" s="168"/>
      <c r="M994" s="168"/>
      <c r="P994" s="168"/>
      <c r="Q994" s="168"/>
    </row>
    <row r="995">
      <c r="A995" s="168"/>
      <c r="B995" s="168"/>
      <c r="C995" s="168"/>
      <c r="D995" s="168"/>
      <c r="E995" s="168"/>
      <c r="F995" s="168"/>
      <c r="G995" s="168"/>
      <c r="H995" s="168"/>
      <c r="I995" s="168"/>
      <c r="J995" s="168"/>
      <c r="K995" s="168"/>
      <c r="L995" s="168"/>
      <c r="M995" s="168"/>
      <c r="P995" s="168"/>
      <c r="Q995" s="168"/>
    </row>
    <row r="996">
      <c r="A996" s="168"/>
      <c r="B996" s="168"/>
      <c r="C996" s="168"/>
      <c r="D996" s="168"/>
      <c r="E996" s="168"/>
      <c r="F996" s="168"/>
      <c r="G996" s="168"/>
      <c r="H996" s="168"/>
      <c r="I996" s="168"/>
      <c r="J996" s="168"/>
      <c r="K996" s="168"/>
      <c r="L996" s="168"/>
      <c r="M996" s="168"/>
      <c r="P996" s="168"/>
      <c r="Q996" s="168"/>
    </row>
    <row r="997">
      <c r="A997" s="168"/>
      <c r="B997" s="168"/>
      <c r="C997" s="168"/>
      <c r="D997" s="168"/>
      <c r="E997" s="168"/>
      <c r="F997" s="168"/>
      <c r="G997" s="168"/>
      <c r="H997" s="168"/>
      <c r="I997" s="168"/>
      <c r="J997" s="168"/>
      <c r="K997" s="168"/>
      <c r="L997" s="168"/>
      <c r="M997" s="168"/>
      <c r="P997" s="168"/>
      <c r="Q997" s="168"/>
    </row>
    <row r="998">
      <c r="A998" s="168"/>
      <c r="B998" s="168"/>
      <c r="C998" s="168"/>
      <c r="D998" s="168"/>
      <c r="E998" s="168"/>
      <c r="F998" s="168"/>
      <c r="G998" s="168"/>
      <c r="H998" s="168"/>
      <c r="I998" s="168"/>
      <c r="J998" s="168"/>
      <c r="K998" s="168"/>
      <c r="L998" s="168"/>
      <c r="M998" s="168"/>
      <c r="P998" s="168"/>
      <c r="Q998" s="168"/>
    </row>
    <row r="999">
      <c r="A999" s="168"/>
      <c r="B999" s="168"/>
      <c r="C999" s="168"/>
      <c r="D999" s="168"/>
      <c r="E999" s="168"/>
      <c r="F999" s="168"/>
      <c r="G999" s="168"/>
      <c r="H999" s="168"/>
      <c r="I999" s="168"/>
      <c r="J999" s="168"/>
      <c r="K999" s="168"/>
      <c r="L999" s="168"/>
      <c r="M999" s="168"/>
      <c r="P999" s="168"/>
      <c r="Q999" s="168"/>
    </row>
    <row r="1000">
      <c r="A1000" s="168"/>
      <c r="B1000" s="168"/>
      <c r="C1000" s="168"/>
      <c r="D1000" s="168"/>
      <c r="E1000" s="168"/>
      <c r="F1000" s="168"/>
      <c r="G1000" s="168"/>
      <c r="H1000" s="168"/>
      <c r="I1000" s="168"/>
      <c r="J1000" s="168"/>
      <c r="K1000" s="168"/>
      <c r="L1000" s="168"/>
      <c r="M1000" s="168"/>
      <c r="P1000" s="168"/>
      <c r="Q1000" s="168"/>
    </row>
    <row r="1001">
      <c r="A1001" s="168"/>
      <c r="B1001" s="168"/>
      <c r="C1001" s="168"/>
      <c r="D1001" s="168"/>
      <c r="E1001" s="168"/>
      <c r="F1001" s="168"/>
      <c r="G1001" s="168"/>
      <c r="H1001" s="168"/>
      <c r="I1001" s="168"/>
      <c r="J1001" s="168"/>
      <c r="K1001" s="168"/>
      <c r="L1001" s="168"/>
      <c r="M1001" s="168"/>
      <c r="P1001" s="168"/>
      <c r="Q1001" s="168"/>
    </row>
  </sheetData>
  <drawing r:id="rId1"/>
</worksheet>
</file>