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242167\Documents\"/>
    </mc:Choice>
  </mc:AlternateContent>
  <xr:revisionPtr revIDLastSave="0" documentId="8_{E2920462-7599-428A-989D-AB6B0EE5ED47}" xr6:coauthVersionLast="47" xr6:coauthVersionMax="47" xr10:uidLastSave="{00000000-0000-0000-0000-000000000000}"/>
  <bookViews>
    <workbookView xWindow="-110" yWindow="-110" windowWidth="19420" windowHeight="10420" firstSheet="3" activeTab="6" xr2:uid="{6BED26F3-7692-4174-B7D3-1FFF60EC611B}"/>
  </bookViews>
  <sheets>
    <sheet name="Part B- E&amp;I and DDM" sheetId="1" r:id="rId1"/>
    <sheet name="Part B- PE " sheetId="2" r:id="rId2"/>
    <sheet name="Part C-Excel function" sheetId="4" r:id="rId3"/>
    <sheet name="Part C-Bond Duration " sheetId="6" r:id="rId4"/>
    <sheet name="Part D-options" sheetId="7" r:id="rId5"/>
    <sheet name="Part D-Options Maturity" sheetId="8" r:id="rId6"/>
    <sheet name="Part D-Goal Seek" sheetId="9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7" l="1"/>
  <c r="B59" i="4"/>
  <c r="B57" i="4"/>
  <c r="B56" i="4"/>
  <c r="B46" i="4"/>
  <c r="B44" i="4"/>
  <c r="B43" i="4"/>
  <c r="B34" i="4"/>
  <c r="B32" i="4"/>
  <c r="B31" i="4"/>
  <c r="B30" i="4"/>
  <c r="B37" i="4" s="1"/>
  <c r="B29" i="4"/>
  <c r="B41" i="4" s="1"/>
  <c r="B23" i="4"/>
  <c r="B21" i="4"/>
  <c r="B20" i="4"/>
  <c r="B18" i="4"/>
  <c r="B17" i="4"/>
  <c r="B16" i="4"/>
  <c r="B15" i="4"/>
  <c r="B8" i="4"/>
  <c r="B11" i="4" s="1"/>
  <c r="B4" i="4"/>
  <c r="B3" i="4"/>
  <c r="B6" i="6"/>
  <c r="B5" i="6"/>
  <c r="B4" i="6"/>
  <c r="B3" i="6"/>
  <c r="B2" i="6"/>
  <c r="B8" i="6" s="1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F51" i="7"/>
  <c r="N50" i="7"/>
  <c r="I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C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B5" i="7"/>
  <c r="N4" i="7"/>
  <c r="B4" i="7"/>
  <c r="R3" i="7"/>
  <c r="R5" i="7" s="1"/>
  <c r="N3" i="7"/>
  <c r="I3" i="7"/>
  <c r="B6" i="7" s="1"/>
  <c r="N2" i="7"/>
  <c r="B54" i="4" l="1"/>
  <c r="B49" i="4"/>
  <c r="B50" i="4" s="1"/>
  <c r="B38" i="4"/>
  <c r="B24" i="4"/>
  <c r="B42" i="4"/>
  <c r="B55" i="4" s="1"/>
  <c r="B16" i="6"/>
  <c r="B14" i="6"/>
  <c r="B13" i="6"/>
  <c r="I8" i="7"/>
  <c r="B3" i="7"/>
  <c r="I4" i="7"/>
  <c r="B7" i="7" s="1"/>
  <c r="B62" i="4" l="1"/>
  <c r="B63" i="4" s="1"/>
  <c r="D19" i="7"/>
  <c r="E3" i="7"/>
  <c r="E4" i="7" l="1"/>
  <c r="E6" i="7" s="1"/>
  <c r="E8" i="7" s="1"/>
  <c r="E5" i="7"/>
  <c r="E7" i="7" s="1"/>
  <c r="D20" i="7"/>
  <c r="D18" i="7"/>
  <c r="D17" i="7" s="1"/>
  <c r="D16" i="7" s="1"/>
  <c r="D15" i="7" s="1"/>
  <c r="D14" i="7" s="1"/>
  <c r="D13" i="7" s="1"/>
  <c r="H16" i="7" l="1"/>
  <c r="D21" i="7"/>
  <c r="E20" i="7"/>
  <c r="F20" i="7" s="1"/>
  <c r="I20" i="7" s="1"/>
  <c r="J20" i="7" s="1"/>
  <c r="E19" i="7"/>
  <c r="F19" i="7" s="1"/>
  <c r="I19" i="7" s="1"/>
  <c r="J19" i="7" s="1"/>
  <c r="E18" i="7"/>
  <c r="F18" i="7" s="1"/>
  <c r="I18" i="7" s="1"/>
  <c r="J18" i="7" s="1"/>
  <c r="E21" i="7"/>
  <c r="E17" i="7"/>
  <c r="F17" i="7" s="1"/>
  <c r="E16" i="7"/>
  <c r="F16" i="7" s="1"/>
  <c r="I16" i="7" s="1"/>
  <c r="J16" i="7" s="1"/>
  <c r="E15" i="7"/>
  <c r="F15" i="7" s="1"/>
  <c r="I15" i="7" s="1"/>
  <c r="J15" i="7" s="1"/>
  <c r="E14" i="7"/>
  <c r="F14" i="7" s="1"/>
  <c r="E13" i="7"/>
  <c r="F13" i="7" s="1"/>
  <c r="I51" i="7"/>
  <c r="I53" i="7" s="1"/>
  <c r="G51" i="7"/>
  <c r="E23" i="7"/>
  <c r="E24" i="7"/>
  <c r="B10" i="7"/>
  <c r="E25" i="7"/>
  <c r="E22" i="7"/>
  <c r="I52" i="7"/>
  <c r="G21" i="7"/>
  <c r="G17" i="7"/>
  <c r="H17" i="7" s="1"/>
  <c r="G16" i="7"/>
  <c r="G15" i="7"/>
  <c r="H15" i="7" s="1"/>
  <c r="G14" i="7"/>
  <c r="H14" i="7" s="1"/>
  <c r="G13" i="7"/>
  <c r="H13" i="7" s="1"/>
  <c r="G24" i="7"/>
  <c r="G22" i="7"/>
  <c r="G23" i="7"/>
  <c r="G25" i="7"/>
  <c r="G19" i="7"/>
  <c r="H19" i="7" s="1"/>
  <c r="G18" i="7"/>
  <c r="H18" i="7" s="1"/>
  <c r="G20" i="7"/>
  <c r="I13" i="7" l="1"/>
  <c r="J13" i="7" s="1"/>
  <c r="I14" i="7"/>
  <c r="J14" i="7" s="1"/>
  <c r="F21" i="7"/>
  <c r="I21" i="7" s="1"/>
  <c r="J21" i="7" s="1"/>
  <c r="D22" i="7"/>
  <c r="G52" i="7"/>
  <c r="G53" i="7" s="1"/>
  <c r="I17" i="7"/>
  <c r="J17" i="7" s="1"/>
  <c r="F22" i="7" l="1"/>
  <c r="I22" i="7" s="1"/>
  <c r="J22" i="7" s="1"/>
  <c r="D23" i="7"/>
  <c r="F23" i="7" l="1"/>
  <c r="I23" i="7" s="1"/>
  <c r="J23" i="7" s="1"/>
  <c r="D24" i="7"/>
  <c r="D25" i="7" l="1"/>
  <c r="F25" i="7" s="1"/>
  <c r="I25" i="7" s="1"/>
  <c r="J25" i="7" s="1"/>
  <c r="F24" i="7"/>
  <c r="I24" i="7" s="1"/>
  <c r="J24" i="7" s="1"/>
  <c r="E17" i="2" l="1"/>
  <c r="E15" i="2"/>
  <c r="G13" i="2"/>
  <c r="G14" i="2" s="1"/>
  <c r="F13" i="2"/>
  <c r="F14" i="2" s="1"/>
  <c r="E13" i="2"/>
  <c r="E14" i="2" s="1"/>
  <c r="D13" i="2"/>
  <c r="D14" i="2" s="1"/>
  <c r="C13" i="2"/>
  <c r="C14" i="2" s="1"/>
  <c r="G7" i="2"/>
  <c r="F7" i="2"/>
  <c r="E7" i="2"/>
  <c r="D7" i="2"/>
  <c r="C7" i="2"/>
  <c r="P3" i="2"/>
  <c r="P4" i="2" s="1"/>
  <c r="Z2" i="2"/>
  <c r="D14" i="1"/>
  <c r="E14" i="1" s="1"/>
  <c r="D13" i="1"/>
  <c r="AC9" i="1"/>
  <c r="AF9" i="1" s="1"/>
  <c r="F8" i="1"/>
  <c r="AC7" i="1"/>
  <c r="F7" i="1"/>
  <c r="C7" i="1" s="1"/>
  <c r="F6" i="1"/>
  <c r="C6" i="1"/>
  <c r="F5" i="1"/>
  <c r="C5" i="1" s="1"/>
  <c r="V4" i="1"/>
  <c r="F4" i="1"/>
  <c r="C4" i="1" s="1"/>
  <c r="T3" i="1"/>
  <c r="M3" i="1"/>
  <c r="P3" i="1" s="1"/>
  <c r="F3" i="1"/>
  <c r="J3" i="1" s="1"/>
  <c r="B4" i="1" s="1"/>
  <c r="E3" i="1"/>
  <c r="E4" i="9"/>
  <c r="E5" i="9" s="1"/>
  <c r="E7" i="9" s="1"/>
  <c r="B3" i="8"/>
  <c r="G4" i="1" l="1"/>
  <c r="I4" i="1" s="1"/>
  <c r="N4" i="1" s="1"/>
  <c r="M4" i="1"/>
  <c r="J4" i="1"/>
  <c r="B5" i="1" s="1"/>
  <c r="E4" i="1"/>
  <c r="T4" i="1" s="1"/>
  <c r="W4" i="1" s="1"/>
  <c r="G3" i="1"/>
  <c r="I3" i="1" s="1"/>
  <c r="N3" i="1" s="1"/>
  <c r="V6" i="1"/>
  <c r="C3" i="1"/>
  <c r="O3" i="1"/>
  <c r="V5" i="1"/>
  <c r="O7" i="1"/>
  <c r="O6" i="1"/>
  <c r="V3" i="1"/>
  <c r="W3" i="1" s="1"/>
  <c r="O5" i="1"/>
  <c r="V7" i="1"/>
  <c r="H8" i="1"/>
  <c r="C8" i="1" s="1"/>
  <c r="O4" i="1"/>
  <c r="E6" i="9"/>
  <c r="E8" i="9" s="1"/>
  <c r="M5" i="1" l="1"/>
  <c r="J5" i="1"/>
  <c r="G5" i="1"/>
  <c r="I5" i="1" s="1"/>
  <c r="N5" i="1" s="1"/>
  <c r="Q5" i="1" s="1"/>
  <c r="E5" i="1"/>
  <c r="T5" i="1" s="1"/>
  <c r="W5" i="1" s="1"/>
  <c r="B6" i="1"/>
  <c r="Q3" i="1"/>
  <c r="Q4" i="1"/>
  <c r="E6" i="1" l="1"/>
  <c r="T6" i="1" s="1"/>
  <c r="W6" i="1" s="1"/>
  <c r="M6" i="1"/>
  <c r="J6" i="1"/>
  <c r="B7" i="1" s="1"/>
  <c r="G6" i="1"/>
  <c r="I6" i="1" s="1"/>
  <c r="N6" i="1" s="1"/>
  <c r="Q6" i="1" s="1"/>
  <c r="M7" i="1" l="1"/>
  <c r="E7" i="1"/>
  <c r="T7" i="1" s="1"/>
  <c r="G7" i="1"/>
  <c r="I7" i="1" s="1"/>
  <c r="N7" i="1" s="1"/>
  <c r="Q7" i="1" s="1"/>
  <c r="P8" i="1" s="1"/>
  <c r="J7" i="1"/>
  <c r="B8" i="1" s="1"/>
  <c r="E9" i="9"/>
  <c r="J8" i="1" l="1"/>
  <c r="G8" i="1"/>
  <c r="I8" i="1" s="1"/>
  <c r="E8" i="1"/>
  <c r="D12" i="1" s="1"/>
  <c r="U7" i="1" s="1"/>
  <c r="W7" i="1" s="1"/>
  <c r="W8" i="1" s="1"/>
</calcChain>
</file>

<file path=xl/sharedStrings.xml><?xml version="1.0" encoding="utf-8"?>
<sst xmlns="http://schemas.openxmlformats.org/spreadsheetml/2006/main" count="327" uniqueCount="253">
  <si>
    <t>Year</t>
  </si>
  <si>
    <t>Growth Rate 
g=i*b</t>
  </si>
  <si>
    <t>Payout Ratio
(1-b)</t>
  </si>
  <si>
    <t>Dividends
E*(1-b)</t>
  </si>
  <si>
    <t>Retention
Ratio (b)</t>
  </si>
  <si>
    <t>Investment
E * b</t>
  </si>
  <si>
    <t>NPV
E*b[(i-r)/r]</t>
  </si>
  <si>
    <t>Panel A - EPS (in pence)</t>
  </si>
  <si>
    <t>Panel B - P/E</t>
  </si>
  <si>
    <t>Price</t>
  </si>
  <si>
    <t>Panel C Industry P/E</t>
  </si>
  <si>
    <t>Price = Estimated EPS x Estimated P/E of the company</t>
  </si>
  <si>
    <t xml:space="preserve">Price = Estimated EPS x Industry P/E </t>
  </si>
  <si>
    <t>Note: Industry P/E can be collected from Bloomberg or calculated by the averge of competitors' P/E</t>
  </si>
  <si>
    <t>Estimated EPS and estimated P/E can be collected from Bloomberg</t>
  </si>
  <si>
    <t>If you cannot collect estimated P/E, you can use the formula to calculate it.</t>
  </si>
  <si>
    <t>Present Value</t>
  </si>
  <si>
    <t>Bond Value</t>
  </si>
  <si>
    <t>Data</t>
  </si>
  <si>
    <t>Settlement date</t>
  </si>
  <si>
    <t>Maturity date</t>
  </si>
  <si>
    <t>Annual coupon rate</t>
  </si>
  <si>
    <t>Yield to maturity</t>
  </si>
  <si>
    <t>Face Value</t>
  </si>
  <si>
    <t>Redemption value (% of face value)</t>
  </si>
  <si>
    <t>Coupon payments per year</t>
  </si>
  <si>
    <t>Formulas</t>
  </si>
  <si>
    <t>=DATE(year,month,day)</t>
  </si>
  <si>
    <t>Coupon rate</t>
  </si>
  <si>
    <t>Coupons per year</t>
  </si>
  <si>
    <t>=DURATION(B2,B3,B4,B5,B6,1)</t>
  </si>
  <si>
    <t>Options Pricing</t>
  </si>
  <si>
    <t>Assumtion</t>
  </si>
  <si>
    <t>Date</t>
  </si>
  <si>
    <t>Adj Close</t>
  </si>
  <si>
    <t>Return</t>
  </si>
  <si>
    <t>Equivalent historical period to calculate volatility</t>
  </si>
  <si>
    <t>Purchase date</t>
  </si>
  <si>
    <t>Standard Deviation (annual)</t>
  </si>
  <si>
    <t>d1</t>
  </si>
  <si>
    <t>Current price</t>
  </si>
  <si>
    <t>Standard Deviation</t>
  </si>
  <si>
    <t>Maturity (in years)</t>
  </si>
  <si>
    <t>d2</t>
  </si>
  <si>
    <t>Exercise price</t>
  </si>
  <si>
    <t>Risk-Free Rate (annual)</t>
  </si>
  <si>
    <t>N(d1)</t>
  </si>
  <si>
    <t>Annualized Standard Deviation</t>
  </si>
  <si>
    <t>Stock Price</t>
  </si>
  <si>
    <t>N(d2)</t>
  </si>
  <si>
    <t>Price at maturity</t>
  </si>
  <si>
    <t>Exercise Price</t>
  </si>
  <si>
    <t>CALL PRICE</t>
  </si>
  <si>
    <t>Risk free rate</t>
  </si>
  <si>
    <t>PUT PRICE</t>
  </si>
  <si>
    <t>Standard deviation</t>
  </si>
  <si>
    <t>Put-Call parity</t>
  </si>
  <si>
    <t>Straddle</t>
  </si>
  <si>
    <t>Share Price</t>
  </si>
  <si>
    <t>Cost of Call</t>
  </si>
  <si>
    <t>Profit on Call</t>
  </si>
  <si>
    <t>Cost of Put</t>
  </si>
  <si>
    <t>Profit on Put</t>
  </si>
  <si>
    <t>Profit on Straddle</t>
  </si>
  <si>
    <t>You need to decide intervals of share prices</t>
  </si>
  <si>
    <t>Graph</t>
  </si>
  <si>
    <t>Time to maturity</t>
  </si>
  <si>
    <t>Rf</t>
  </si>
  <si>
    <t>Rm-Rf</t>
  </si>
  <si>
    <t>1/11/2023</t>
  </si>
  <si>
    <t>31/10/2023</t>
  </si>
  <si>
    <t>30/10/2023</t>
  </si>
  <si>
    <t>27/10/2023</t>
  </si>
  <si>
    <t>26/10/2023</t>
  </si>
  <si>
    <t>25/10/2023</t>
  </si>
  <si>
    <t>24/10/2023</t>
  </si>
  <si>
    <t>23/10/2023</t>
  </si>
  <si>
    <t>20/10/2023</t>
  </si>
  <si>
    <t>19/10/2023</t>
  </si>
  <si>
    <t>18/10/2023</t>
  </si>
  <si>
    <t>17/10/2023</t>
  </si>
  <si>
    <t>16/10/2023</t>
  </si>
  <si>
    <t>13/10/2023</t>
  </si>
  <si>
    <t>12/10/2023</t>
  </si>
  <si>
    <t>11/10/2023</t>
  </si>
  <si>
    <t>10/10/2023</t>
  </si>
  <si>
    <t>9/10/2023</t>
  </si>
  <si>
    <t>6/10/2023</t>
  </si>
  <si>
    <t>5/10/2023</t>
  </si>
  <si>
    <t>4/10/2023</t>
  </si>
  <si>
    <t>3/10/2023</t>
  </si>
  <si>
    <t>2/10/2023</t>
  </si>
  <si>
    <t>29/9/2023</t>
  </si>
  <si>
    <t>28/9/2023</t>
  </si>
  <si>
    <t>27/9/2023</t>
  </si>
  <si>
    <t>26/9/2023</t>
  </si>
  <si>
    <t>25/9/2023</t>
  </si>
  <si>
    <t>22/9/2023</t>
  </si>
  <si>
    <t>21/9/2023</t>
  </si>
  <si>
    <t>20/9/2023</t>
  </si>
  <si>
    <t>19/9/2023</t>
  </si>
  <si>
    <t>18/9/2023</t>
  </si>
  <si>
    <t>15/9/2023</t>
  </si>
  <si>
    <t>14/9/2023</t>
  </si>
  <si>
    <t>13/9/2023</t>
  </si>
  <si>
    <t>12/9/2023</t>
  </si>
  <si>
    <t>11/9/2023</t>
  </si>
  <si>
    <t>8/9/2023</t>
  </si>
  <si>
    <t>7/9/2023</t>
  </si>
  <si>
    <t>6/9/2023</t>
  </si>
  <si>
    <t>5/9/2023</t>
  </si>
  <si>
    <t>4/9/2023</t>
  </si>
  <si>
    <t>1/9/2023</t>
  </si>
  <si>
    <t>31/8/2023</t>
  </si>
  <si>
    <t>30/8/2023</t>
  </si>
  <si>
    <t>29/8/2023</t>
  </si>
  <si>
    <t>25/8/2023</t>
  </si>
  <si>
    <t>24/8/2023</t>
  </si>
  <si>
    <t>23/8/2023</t>
  </si>
  <si>
    <t>22/8/2023</t>
  </si>
  <si>
    <t>21/8/2023</t>
  </si>
  <si>
    <t>18/8/2023</t>
  </si>
  <si>
    <t>17/8/2023</t>
  </si>
  <si>
    <t>16/8/2023</t>
  </si>
  <si>
    <t>15/8/2023</t>
  </si>
  <si>
    <t>14/8/2023</t>
  </si>
  <si>
    <t>11/8/2023</t>
  </si>
  <si>
    <t>10/8/2023</t>
  </si>
  <si>
    <t>9/8/2023</t>
  </si>
  <si>
    <t>8/8/2023</t>
  </si>
  <si>
    <t>7/8/2023</t>
  </si>
  <si>
    <t>4/8/2023</t>
  </si>
  <si>
    <t>3/8/2023</t>
  </si>
  <si>
    <t>2/8/2023</t>
  </si>
  <si>
    <t>1/8/2023</t>
  </si>
  <si>
    <t>Profit for investors</t>
  </si>
  <si>
    <t>SOURCES</t>
  </si>
  <si>
    <t>2nd step</t>
  </si>
  <si>
    <t>Wednesday, November 01, 2023</t>
  </si>
  <si>
    <t>Tuesday, October 31, 2023</t>
  </si>
  <si>
    <t>Monday, October 30, 2023</t>
  </si>
  <si>
    <t>Friday, October 27, 2023</t>
  </si>
  <si>
    <t>Thursday, October 26, 2023</t>
  </si>
  <si>
    <t>Wednesday, October 25, 2023</t>
  </si>
  <si>
    <t>Tuesday, October 24, 2023</t>
  </si>
  <si>
    <t>Monday, October 23, 2023</t>
  </si>
  <si>
    <t>Friday, October 20, 2023</t>
  </si>
  <si>
    <t>Thursday, October 19, 2023</t>
  </si>
  <si>
    <t>Wednesday, October 18, 2023</t>
  </si>
  <si>
    <t>Tuesday, October 17, 2023</t>
  </si>
  <si>
    <t>Monday, October 16, 2023</t>
  </si>
  <si>
    <t>Friday, October 13, 2023</t>
  </si>
  <si>
    <t>Thursday, October 12, 2023</t>
  </si>
  <si>
    <t>Wednesday, October 11, 2023</t>
  </si>
  <si>
    <t>Tuesday, October 10, 2023</t>
  </si>
  <si>
    <t>Monday, October 09, 2023</t>
  </si>
  <si>
    <t>Friday, October 06, 2023</t>
  </si>
  <si>
    <t>Thursday, October 05, 2023</t>
  </si>
  <si>
    <t>Wednesday, October 04, 2023</t>
  </si>
  <si>
    <t>Tuesday, October 03, 2023</t>
  </si>
  <si>
    <t>Monday, October 02, 2023</t>
  </si>
  <si>
    <t>Friday, September 29, 2023</t>
  </si>
  <si>
    <t>Thursday, September 28, 2023</t>
  </si>
  <si>
    <t>Wednesday, September 27, 2023</t>
  </si>
  <si>
    <t>Tuesday, September 26, 2023</t>
  </si>
  <si>
    <t>Monday, September 25, 2023</t>
  </si>
  <si>
    <t>Friday, September 22, 2023</t>
  </si>
  <si>
    <t>Thursday, September 21, 2023</t>
  </si>
  <si>
    <t>Wednesday, September 20, 2023</t>
  </si>
  <si>
    <t>Tuesday, September 19, 2023</t>
  </si>
  <si>
    <t>Monday, September 18, 2023</t>
  </si>
  <si>
    <t>Friday, September 15, 2023</t>
  </si>
  <si>
    <t>Thursday, September 14, 2023</t>
  </si>
  <si>
    <t>Wednesday, September 13, 2023</t>
  </si>
  <si>
    <t>Tuesday, September 12, 2023</t>
  </si>
  <si>
    <t>Monday, September 11, 2023</t>
  </si>
  <si>
    <t>Friday, September 08, 2023</t>
  </si>
  <si>
    <t>Thursday, September 07, 2023</t>
  </si>
  <si>
    <t>Wednesday, September 06, 2023</t>
  </si>
  <si>
    <t>Tuesday, September 05, 2023</t>
  </si>
  <si>
    <t>Monday, September 04, 2023</t>
  </si>
  <si>
    <t>Friday, September 01, 2023</t>
  </si>
  <si>
    <t>Thursday, August 31, 2023</t>
  </si>
  <si>
    <t>Wednesday, August 30, 2023</t>
  </si>
  <si>
    <t>Tuesday, August 29, 2023</t>
  </si>
  <si>
    <t>Friday, August 25, 2023</t>
  </si>
  <si>
    <t>Thursday, August 24, 2023</t>
  </si>
  <si>
    <t>Wednesday, August 23, 2023</t>
  </si>
  <si>
    <t>Tuesday, August 22, 2023</t>
  </si>
  <si>
    <t>Monday, August 21, 2023</t>
  </si>
  <si>
    <t>Friday, August 18, 2023</t>
  </si>
  <si>
    <t>Thursday, August 17, 2023</t>
  </si>
  <si>
    <t>Wednesday, August 16, 2023</t>
  </si>
  <si>
    <t>Tuesday, August 15, 2023</t>
  </si>
  <si>
    <t>Monday, August 14, 2023</t>
  </si>
  <si>
    <t>Friday, August 11, 2023</t>
  </si>
  <si>
    <t>Thursday, August 10, 2023</t>
  </si>
  <si>
    <t>Wednesday, August 09, 2023</t>
  </si>
  <si>
    <t>Tuesday, August 08, 2023</t>
  </si>
  <si>
    <t>Monday, August 07, 2023</t>
  </si>
  <si>
    <t>Friday, August 04, 2023</t>
  </si>
  <si>
    <t>Thursday, August 03, 2023</t>
  </si>
  <si>
    <t>Wednesday, August 02, 2023</t>
  </si>
  <si>
    <t>Tuesday, August 01, 2023</t>
  </si>
  <si>
    <t xml:space="preserve">fernadez </t>
  </si>
  <si>
    <t>1000 calls @2497</t>
  </si>
  <si>
    <t>Earnings &amp; Investments Model</t>
  </si>
  <si>
    <t>Dividends Discount Model</t>
  </si>
  <si>
    <r>
      <t>Earnings
E</t>
    </r>
    <r>
      <rPr>
        <b/>
        <sz val="8"/>
        <color rgb="FF000000"/>
        <rFont val="Verdana"/>
        <family val="2"/>
        <charset val="161"/>
      </rPr>
      <t>(t-1)</t>
    </r>
    <r>
      <rPr>
        <b/>
        <sz val="11"/>
        <color rgb="FF000000"/>
        <rFont val="Verdana"/>
        <family val="2"/>
      </rPr>
      <t xml:space="preserve"> + incremental earning</t>
    </r>
  </si>
  <si>
    <t xml:space="preserve">Rate of Return (IRR or i) </t>
  </si>
  <si>
    <t>Incremental Earnings
(E * b)*IRR</t>
  </si>
  <si>
    <t>E1</t>
  </si>
  <si>
    <t>NPV</t>
  </si>
  <si>
    <t>PVF (11.19%)</t>
  </si>
  <si>
    <t>Cont. of Assets</t>
  </si>
  <si>
    <t>PVGO</t>
  </si>
  <si>
    <t>Dividends</t>
  </si>
  <si>
    <t>Terminal Value</t>
  </si>
  <si>
    <t xml:space="preserve">Firm Value </t>
  </si>
  <si>
    <t>Shares Outstanding</t>
  </si>
  <si>
    <t>Intristic Value in pounds</t>
  </si>
  <si>
    <t>Firm Value</t>
  </si>
  <si>
    <t>Intristic Value in pence</t>
  </si>
  <si>
    <t>Beta(16/02/2024)</t>
  </si>
  <si>
    <t>Taken from Financial Times</t>
  </si>
  <si>
    <t>Ke</t>
  </si>
  <si>
    <t>This is Rate of return</t>
  </si>
  <si>
    <t>β</t>
  </si>
  <si>
    <t>3i Group Plc, III:LSE summary - FT.com</t>
  </si>
  <si>
    <t>Fernandez Report</t>
  </si>
  <si>
    <t xml:space="preserve">sell </t>
  </si>
  <si>
    <t>underpriced</t>
  </si>
  <si>
    <t xml:space="preserve">schroders plc </t>
  </si>
  <si>
    <t>m&amp;g plc</t>
  </si>
  <si>
    <t xml:space="preserve">ninety one plc </t>
  </si>
  <si>
    <t>janus henderson group</t>
  </si>
  <si>
    <t>Company</t>
  </si>
  <si>
    <t>Schroders</t>
  </si>
  <si>
    <t>Janus Henderson Group</t>
  </si>
  <si>
    <t xml:space="preserve">Ninety One plc </t>
  </si>
  <si>
    <t>M&amp;G plc</t>
  </si>
  <si>
    <t xml:space="preserve">Industry </t>
  </si>
  <si>
    <t>calls price *1000</t>
  </si>
  <si>
    <t>PPT</t>
  </si>
  <si>
    <t xml:space="preserve"> Duration</t>
  </si>
  <si>
    <t>Change in Yield to Maturity</t>
  </si>
  <si>
    <t xml:space="preserve">Change in Bond Price </t>
  </si>
  <si>
    <t>No Change</t>
  </si>
  <si>
    <t>Holding Period</t>
  </si>
  <si>
    <t>If at 1%</t>
  </si>
  <si>
    <t>If at .5%</t>
  </si>
  <si>
    <t>If at -.3%</t>
  </si>
  <si>
    <t xml:space="preserve">Holding 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</si>
</sst>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6" formatCode="0.0000"/>
    <numFmt numFmtId="168" formatCode="0.00000"/>
    <numFmt numFmtId="169" formatCode="#,##0.0000"/>
    <numFmt numFmtId="170" formatCode="#,##0.000"/>
    <numFmt numFmtId="171" formatCode="#,##0.0"/>
    <numFmt numFmtId="172" formatCode="0.000%"/>
    <numFmt numFmtId="173" formatCode="0.0%"/>
    <numFmt numFmtId="174" formatCode="0.000000%"/>
    <numFmt numFmtId="175" formatCode="#,##0.0000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rgb="FF7030A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4" tint="-0.249977111117893"/>
      <name val="Verdana"/>
      <family val="2"/>
    </font>
    <font>
      <b/>
      <sz val="10"/>
      <name val="Courier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33333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Verdana"/>
      <family val="2"/>
    </font>
    <font>
      <sz val="13"/>
      <color theme="1"/>
      <name val="Calibri"/>
      <family val="2"/>
      <scheme val="minor"/>
    </font>
    <font>
      <b/>
      <sz val="8"/>
      <color rgb="FF000000"/>
      <name val="Verdana"/>
      <family val="2"/>
      <charset val="161"/>
    </font>
    <font>
      <b/>
      <sz val="11"/>
      <color rgb="FF000000"/>
      <name val="Verdana"/>
      <family val="2"/>
    </font>
    <font>
      <b/>
      <sz val="13"/>
      <color theme="1"/>
      <name val="Verdana"/>
      <family val="2"/>
    </font>
    <font>
      <sz val="13"/>
      <color theme="1"/>
      <name val="Verdana"/>
      <family val="2"/>
    </font>
    <font>
      <b/>
      <sz val="13"/>
      <color rgb="FF00B050"/>
      <name val="Verdana"/>
      <family val="2"/>
      <charset val="161"/>
    </font>
    <font>
      <sz val="13"/>
      <name val="Verdana"/>
      <family val="2"/>
    </font>
    <font>
      <sz val="13"/>
      <color rgb="FFFF0000"/>
      <name val="Verdana"/>
      <family val="2"/>
    </font>
    <font>
      <b/>
      <sz val="13"/>
      <color rgb="FFFF0000"/>
      <name val="Verdana"/>
      <family val="2"/>
    </font>
    <font>
      <b/>
      <u/>
      <sz val="18"/>
      <color theme="1"/>
      <name val="Calibri"/>
      <family val="2"/>
      <scheme val="minor"/>
    </font>
    <font>
      <sz val="14"/>
      <name val="Corbel"/>
      <family val="2"/>
    </font>
    <font>
      <sz val="16"/>
      <color rgb="FF7030A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BCF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1E5"/>
        <bgColor indexed="64"/>
      </patternFill>
    </fill>
    <fill>
      <patternFill patternType="solid">
        <fgColor rgb="FFF2DF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5" fillId="3" borderId="0" xfId="0" applyFont="1" applyFill="1"/>
    <xf numFmtId="0" fontId="2" fillId="0" borderId="0" xfId="0" applyFont="1" applyAlignment="1">
      <alignment horizontal="center"/>
    </xf>
    <xf numFmtId="0" fontId="5" fillId="0" borderId="6" xfId="1" applyFont="1" applyBorder="1"/>
    <xf numFmtId="0" fontId="5" fillId="0" borderId="7" xfId="1" applyFont="1" applyBorder="1"/>
    <xf numFmtId="0" fontId="1" fillId="0" borderId="0" xfId="1"/>
    <xf numFmtId="2" fontId="6" fillId="0" borderId="0" xfId="1" applyNumberFormat="1" applyFont="1"/>
    <xf numFmtId="0" fontId="9" fillId="0" borderId="0" xfId="2" applyFont="1"/>
    <xf numFmtId="0" fontId="9" fillId="0" borderId="0" xfId="0" applyFont="1"/>
    <xf numFmtId="14" fontId="0" fillId="0" borderId="0" xfId="0" applyNumberFormat="1"/>
    <xf numFmtId="0" fontId="0" fillId="6" borderId="20" xfId="0" applyFill="1" applyBorder="1"/>
    <xf numFmtId="0" fontId="12" fillId="0" borderId="0" xfId="0" applyFont="1"/>
    <xf numFmtId="0" fontId="15" fillId="0" borderId="0" xfId="0" applyFont="1" applyAlignment="1">
      <alignment horizontal="center"/>
    </xf>
    <xf numFmtId="0" fontId="0" fillId="0" borderId="1" xfId="0" applyBorder="1"/>
    <xf numFmtId="4" fontId="16" fillId="9" borderId="0" xfId="0" applyNumberFormat="1" applyFont="1" applyFill="1" applyAlignment="1">
      <alignment horizontal="right" vertical="center" wrapText="1" indent="1"/>
    </xf>
    <xf numFmtId="4" fontId="16" fillId="10" borderId="0" xfId="0" applyNumberFormat="1" applyFont="1" applyFill="1" applyAlignment="1">
      <alignment horizontal="right" vertical="center" wrapText="1" indent="1"/>
    </xf>
    <xf numFmtId="0" fontId="4" fillId="0" borderId="0" xfId="0" applyFont="1"/>
    <xf numFmtId="0" fontId="0" fillId="11" borderId="0" xfId="0" applyFill="1"/>
    <xf numFmtId="0" fontId="16" fillId="9" borderId="0" xfId="0" applyFont="1" applyFill="1" applyAlignment="1">
      <alignment horizontal="left" vertical="center" wrapText="1" indent="1"/>
    </xf>
    <xf numFmtId="3" fontId="16" fillId="9" borderId="0" xfId="0" applyNumberFormat="1" applyFont="1" applyFill="1" applyAlignment="1">
      <alignment horizontal="right" vertical="center" wrapText="1" indent="1"/>
    </xf>
    <xf numFmtId="0" fontId="16" fillId="10" borderId="0" xfId="0" applyFont="1" applyFill="1" applyAlignment="1">
      <alignment horizontal="left" vertical="center" wrapText="1" indent="1"/>
    </xf>
    <xf numFmtId="3" fontId="16" fillId="10" borderId="0" xfId="0" applyNumberFormat="1" applyFont="1" applyFill="1" applyAlignment="1">
      <alignment horizontal="right" vertical="center" wrapText="1" indent="1"/>
    </xf>
    <xf numFmtId="4" fontId="11" fillId="6" borderId="22" xfId="0" applyNumberFormat="1" applyFont="1" applyFill="1" applyBorder="1"/>
    <xf numFmtId="0" fontId="11" fillId="6" borderId="1" xfId="0" applyFont="1" applyFill="1" applyBorder="1"/>
    <xf numFmtId="0" fontId="11" fillId="6" borderId="24" xfId="0" applyFont="1" applyFill="1" applyBorder="1"/>
    <xf numFmtId="4" fontId="11" fillId="6" borderId="25" xfId="0" applyNumberFormat="1" applyFont="1" applyFill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166" fontId="0" fillId="6" borderId="0" xfId="0" applyNumberFormat="1" applyFill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13" fillId="13" borderId="1" xfId="0" applyFont="1" applyFill="1" applyBorder="1"/>
    <xf numFmtId="0" fontId="13" fillId="13" borderId="1" xfId="0" applyFont="1" applyFill="1" applyBorder="1" applyAlignment="1">
      <alignment horizontal="center"/>
    </xf>
    <xf numFmtId="0" fontId="18" fillId="13" borderId="1" xfId="0" applyFont="1" applyFill="1" applyBorder="1"/>
    <xf numFmtId="2" fontId="14" fillId="0" borderId="1" xfId="0" applyNumberFormat="1" applyFont="1" applyBorder="1" applyAlignment="1">
      <alignment horizontal="center"/>
    </xf>
    <xf numFmtId="4" fontId="14" fillId="7" borderId="1" xfId="0" applyNumberFormat="1" applyFont="1" applyFill="1" applyBorder="1" applyAlignment="1">
      <alignment horizontal="center"/>
    </xf>
    <xf numFmtId="2" fontId="14" fillId="7" borderId="1" xfId="0" applyNumberFormat="1" applyFont="1" applyFill="1" applyBorder="1" applyAlignment="1">
      <alignment horizontal="center"/>
    </xf>
    <xf numFmtId="4" fontId="14" fillId="8" borderId="1" xfId="0" applyNumberFormat="1" applyFont="1" applyFill="1" applyBorder="1" applyAlignment="1">
      <alignment horizontal="center"/>
    </xf>
    <xf numFmtId="2" fontId="14" fillId="8" borderId="1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13" fillId="0" borderId="1" xfId="0" applyNumberFormat="1" applyFont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0" fontId="0" fillId="6" borderId="1" xfId="0" applyFill="1" applyBorder="1"/>
    <xf numFmtId="4" fontId="11" fillId="6" borderId="1" xfId="0" applyNumberFormat="1" applyFont="1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/>
    <xf numFmtId="169" fontId="9" fillId="14" borderId="1" xfId="0" applyNumberFormat="1" applyFont="1" applyFill="1" applyBorder="1"/>
    <xf numFmtId="0" fontId="2" fillId="15" borderId="0" xfId="0" applyFont="1" applyFill="1"/>
    <xf numFmtId="0" fontId="0" fillId="0" borderId="0" xfId="0" applyFill="1" applyBorder="1"/>
    <xf numFmtId="0" fontId="0" fillId="0" borderId="0" xfId="0" applyBorder="1"/>
    <xf numFmtId="0" fontId="9" fillId="14" borderId="21" xfId="0" applyFont="1" applyFill="1" applyBorder="1"/>
    <xf numFmtId="0" fontId="9" fillId="14" borderId="1" xfId="0" applyFont="1" applyFill="1" applyBorder="1"/>
    <xf numFmtId="4" fontId="9" fillId="14" borderId="1" xfId="0" applyNumberFormat="1" applyFont="1" applyFill="1" applyBorder="1"/>
    <xf numFmtId="170" fontId="9" fillId="14" borderId="1" xfId="0" applyNumberFormat="1" applyFont="1" applyFill="1" applyBorder="1"/>
    <xf numFmtId="171" fontId="9" fillId="14" borderId="1" xfId="0" applyNumberFormat="1" applyFont="1" applyFill="1" applyBorder="1"/>
    <xf numFmtId="0" fontId="0" fillId="14" borderId="23" xfId="0" applyFill="1" applyBorder="1"/>
    <xf numFmtId="0" fontId="0" fillId="14" borderId="24" xfId="0" applyFill="1" applyBorder="1"/>
    <xf numFmtId="169" fontId="9" fillId="14" borderId="22" xfId="0" applyNumberFormat="1" applyFont="1" applyFill="1" applyBorder="1"/>
    <xf numFmtId="0" fontId="0" fillId="14" borderId="19" xfId="0" applyFill="1" applyBorder="1"/>
    <xf numFmtId="0" fontId="0" fillId="14" borderId="26" xfId="0" applyFill="1" applyBorder="1"/>
    <xf numFmtId="14" fontId="0" fillId="14" borderId="20" xfId="0" applyNumberFormat="1" applyFill="1" applyBorder="1"/>
    <xf numFmtId="4" fontId="0" fillId="14" borderId="20" xfId="0" applyNumberFormat="1" applyFill="1" applyBorder="1"/>
    <xf numFmtId="0" fontId="0" fillId="14" borderId="20" xfId="0" applyFill="1" applyBorder="1"/>
    <xf numFmtId="172" fontId="0" fillId="14" borderId="20" xfId="0" applyNumberFormat="1" applyFill="1" applyBorder="1"/>
    <xf numFmtId="166" fontId="0" fillId="14" borderId="27" xfId="0" applyNumberFormat="1" applyFill="1" applyBorder="1"/>
    <xf numFmtId="0" fontId="8" fillId="15" borderId="14" xfId="0" applyFont="1" applyFill="1" applyBorder="1" applyAlignment="1">
      <alignment horizontal="center"/>
    </xf>
    <xf numFmtId="0" fontId="8" fillId="15" borderId="15" xfId="0" applyFont="1" applyFill="1" applyBorder="1" applyAlignment="1">
      <alignment horizontal="center"/>
    </xf>
    <xf numFmtId="0" fontId="8" fillId="15" borderId="16" xfId="0" applyFont="1" applyFill="1" applyBorder="1" applyAlignment="1">
      <alignment horizontal="center"/>
    </xf>
    <xf numFmtId="0" fontId="8" fillId="13" borderId="17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18" xfId="0" applyFont="1" applyFill="1" applyBorder="1" applyAlignment="1">
      <alignment horizontal="center"/>
    </xf>
    <xf numFmtId="0" fontId="4" fillId="14" borderId="1" xfId="0" applyFont="1" applyFill="1" applyBorder="1"/>
    <xf numFmtId="0" fontId="0" fillId="15" borderId="0" xfId="0" applyFill="1"/>
    <xf numFmtId="14" fontId="0" fillId="14" borderId="1" xfId="0" applyNumberFormat="1" applyFill="1" applyBorder="1"/>
    <xf numFmtId="0" fontId="5" fillId="0" borderId="0" xfId="1" applyFont="1" applyBorder="1"/>
    <xf numFmtId="0" fontId="8" fillId="13" borderId="1" xfId="1" applyFont="1" applyFill="1" applyBorder="1" applyAlignment="1">
      <alignment horizontal="center"/>
    </xf>
    <xf numFmtId="2" fontId="6" fillId="6" borderId="10" xfId="1" applyNumberFormat="1" applyFont="1" applyFill="1" applyBorder="1"/>
    <xf numFmtId="14" fontId="5" fillId="14" borderId="11" xfId="1" applyNumberFormat="1" applyFont="1" applyFill="1" applyBorder="1"/>
    <xf numFmtId="14" fontId="5" fillId="14" borderId="7" xfId="1" applyNumberFormat="1" applyFont="1" applyFill="1" applyBorder="1"/>
    <xf numFmtId="0" fontId="5" fillId="14" borderId="7" xfId="1" applyFont="1" applyFill="1" applyBorder="1"/>
    <xf numFmtId="0" fontId="5" fillId="14" borderId="1" xfId="1" applyFont="1" applyFill="1" applyBorder="1"/>
    <xf numFmtId="2" fontId="6" fillId="6" borderId="1" xfId="1" applyNumberFormat="1" applyFont="1" applyFill="1" applyBorder="1"/>
    <xf numFmtId="0" fontId="5" fillId="0" borderId="1" xfId="1" applyFont="1" applyBorder="1"/>
    <xf numFmtId="0" fontId="5" fillId="13" borderId="1" xfId="1" applyFont="1" applyFill="1" applyBorder="1"/>
    <xf numFmtId="0" fontId="20" fillId="16" borderId="9" xfId="0" applyFont="1" applyFill="1" applyBorder="1" applyAlignment="1">
      <alignment horizontal="center"/>
    </xf>
    <xf numFmtId="0" fontId="21" fillId="0" borderId="0" xfId="0" applyFont="1"/>
    <xf numFmtId="2" fontId="25" fillId="6" borderId="29" xfId="0" applyNumberFormat="1" applyFont="1" applyFill="1" applyBorder="1" applyAlignment="1">
      <alignment horizontal="center"/>
    </xf>
    <xf numFmtId="0" fontId="19" fillId="0" borderId="0" xfId="3"/>
    <xf numFmtId="0" fontId="32" fillId="0" borderId="0" xfId="0" applyFont="1"/>
    <xf numFmtId="0" fontId="3" fillId="13" borderId="2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2" fontId="26" fillId="6" borderId="1" xfId="0" applyNumberFormat="1" applyFont="1" applyFill="1" applyBorder="1" applyAlignment="1">
      <alignment horizontal="center"/>
    </xf>
    <xf numFmtId="2" fontId="26" fillId="6" borderId="29" xfId="0" applyNumberFormat="1" applyFont="1" applyFill="1" applyBorder="1" applyAlignment="1">
      <alignment horizontal="center"/>
    </xf>
    <xf numFmtId="0" fontId="25" fillId="14" borderId="31" xfId="0" applyFont="1" applyFill="1" applyBorder="1" applyAlignment="1">
      <alignment horizontal="center"/>
    </xf>
    <xf numFmtId="2" fontId="25" fillId="14" borderId="1" xfId="0" applyNumberFormat="1" applyFont="1" applyFill="1" applyBorder="1" applyAlignment="1">
      <alignment horizontal="center"/>
    </xf>
    <xf numFmtId="2" fontId="27" fillId="14" borderId="32" xfId="0" applyNumberFormat="1" applyFont="1" applyFill="1" applyBorder="1" applyAlignment="1">
      <alignment horizontal="center"/>
    </xf>
    <xf numFmtId="2" fontId="24" fillId="14" borderId="29" xfId="0" applyNumberFormat="1" applyFont="1" applyFill="1" applyBorder="1" applyAlignment="1">
      <alignment horizontal="center"/>
    </xf>
    <xf numFmtId="2" fontId="25" fillId="14" borderId="29" xfId="0" applyNumberFormat="1" applyFont="1" applyFill="1" applyBorder="1" applyAlignment="1">
      <alignment horizontal="center"/>
    </xf>
    <xf numFmtId="2" fontId="25" fillId="14" borderId="0" xfId="0" applyNumberFormat="1" applyFont="1" applyFill="1" applyAlignment="1">
      <alignment horizontal="center"/>
    </xf>
    <xf numFmtId="2" fontId="25" fillId="14" borderId="7" xfId="0" applyNumberFormat="1" applyFont="1" applyFill="1" applyBorder="1" applyAlignment="1">
      <alignment horizontal="center"/>
    </xf>
    <xf numFmtId="174" fontId="0" fillId="14" borderId="1" xfId="0" applyNumberFormat="1" applyFill="1" applyBorder="1"/>
    <xf numFmtId="10" fontId="31" fillId="14" borderId="1" xfId="0" applyNumberFormat="1" applyFont="1" applyFill="1" applyBorder="1"/>
    <xf numFmtId="173" fontId="31" fillId="14" borderId="1" xfId="0" applyNumberFormat="1" applyFont="1" applyFill="1" applyBorder="1"/>
    <xf numFmtId="2" fontId="24" fillId="6" borderId="1" xfId="0" applyNumberFormat="1" applyFont="1" applyFill="1" applyBorder="1" applyAlignment="1">
      <alignment horizontal="center"/>
    </xf>
    <xf numFmtId="0" fontId="17" fillId="15" borderId="1" xfId="0" applyFont="1" applyFill="1" applyBorder="1"/>
    <xf numFmtId="0" fontId="24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/>
    </xf>
    <xf numFmtId="166" fontId="28" fillId="6" borderId="0" xfId="0" applyNumberFormat="1" applyFont="1" applyFill="1" applyAlignment="1">
      <alignment horizontal="center"/>
    </xf>
    <xf numFmtId="2" fontId="28" fillId="6" borderId="6" xfId="0" applyNumberFormat="1" applyFont="1" applyFill="1" applyBorder="1" applyAlignment="1">
      <alignment horizontal="center"/>
    </xf>
    <xf numFmtId="4" fontId="29" fillId="6" borderId="34" xfId="0" applyNumberFormat="1" applyFont="1" applyFill="1" applyBorder="1" applyAlignment="1">
      <alignment horizontal="center"/>
    </xf>
    <xf numFmtId="4" fontId="29" fillId="6" borderId="35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 wrapText="1"/>
    </xf>
    <xf numFmtId="2" fontId="25" fillId="14" borderId="0" xfId="0" applyNumberFormat="1" applyFont="1" applyFill="1" applyAlignment="1">
      <alignment horizontal="center" wrapText="1"/>
    </xf>
    <xf numFmtId="2" fontId="25" fillId="14" borderId="2" xfId="0" applyNumberFormat="1" applyFont="1" applyFill="1" applyBorder="1" applyAlignment="1">
      <alignment horizontal="center"/>
    </xf>
    <xf numFmtId="4" fontId="29" fillId="6" borderId="28" xfId="0" applyNumberFormat="1" applyFont="1" applyFill="1" applyBorder="1" applyAlignment="1">
      <alignment horizontal="center"/>
    </xf>
    <xf numFmtId="0" fontId="24" fillId="14" borderId="10" xfId="0" applyFont="1" applyFill="1" applyBorder="1" applyAlignment="1">
      <alignment horizontal="center"/>
    </xf>
    <xf numFmtId="3" fontId="4" fillId="6" borderId="33" xfId="0" applyNumberFormat="1" applyFont="1" applyFill="1" applyBorder="1" applyAlignment="1">
      <alignment vertical="top" wrapText="1"/>
    </xf>
    <xf numFmtId="0" fontId="2" fillId="14" borderId="0" xfId="0" applyFont="1" applyFill="1"/>
    <xf numFmtId="0" fontId="5" fillId="14" borderId="1" xfId="0" applyFont="1" applyFill="1" applyBorder="1" applyAlignment="1">
      <alignment horizontal="center"/>
    </xf>
    <xf numFmtId="0" fontId="7" fillId="14" borderId="12" xfId="0" applyFont="1" applyFill="1" applyBorder="1"/>
    <xf numFmtId="0" fontId="7" fillId="14" borderId="3" xfId="0" applyFont="1" applyFill="1" applyBorder="1"/>
    <xf numFmtId="0" fontId="7" fillId="14" borderId="6" xfId="0" applyFont="1" applyFill="1" applyBorder="1"/>
    <xf numFmtId="0" fontId="7" fillId="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right" vertical="center"/>
    </xf>
    <xf numFmtId="0" fontId="2" fillId="14" borderId="1" xfId="0" applyFont="1" applyFill="1" applyBorder="1"/>
    <xf numFmtId="171" fontId="0" fillId="0" borderId="0" xfId="0" applyNumberFormat="1"/>
    <xf numFmtId="170" fontId="0" fillId="0" borderId="0" xfId="0" applyNumberFormat="1"/>
    <xf numFmtId="175" fontId="0" fillId="0" borderId="0" xfId="0" applyNumberFormat="1"/>
    <xf numFmtId="0" fontId="6" fillId="13" borderId="1" xfId="0" applyFont="1" applyFill="1" applyBorder="1" applyAlignment="1">
      <alignment horizontal="center"/>
    </xf>
    <xf numFmtId="0" fontId="7" fillId="13" borderId="12" xfId="0" applyFont="1" applyFill="1" applyBorder="1"/>
    <xf numFmtId="0" fontId="7" fillId="13" borderId="3" xfId="0" applyFont="1" applyFill="1" applyBorder="1"/>
    <xf numFmtId="14" fontId="5" fillId="12" borderId="11" xfId="1" applyNumberFormat="1" applyFont="1" applyFill="1" applyBorder="1"/>
    <xf numFmtId="14" fontId="5" fillId="12" borderId="7" xfId="1" applyNumberFormat="1" applyFont="1" applyFill="1" applyBorder="1"/>
    <xf numFmtId="0" fontId="5" fillId="12" borderId="7" xfId="1" applyFont="1" applyFill="1" applyBorder="1"/>
    <xf numFmtId="43" fontId="1" fillId="0" borderId="0" xfId="5"/>
    <xf numFmtId="43" fontId="1" fillId="0" borderId="0" xfId="1" applyNumberFormat="1"/>
    <xf numFmtId="0" fontId="5" fillId="13" borderId="0" xfId="1" applyFont="1" applyFill="1"/>
    <xf numFmtId="2" fontId="6" fillId="6" borderId="8" xfId="1" applyNumberFormat="1" applyFont="1" applyFill="1" applyBorder="1"/>
    <xf numFmtId="0" fontId="5" fillId="14" borderId="12" xfId="1" applyFont="1" applyFill="1" applyBorder="1"/>
    <xf numFmtId="0" fontId="5" fillId="14" borderId="6" xfId="1" applyFont="1" applyFill="1" applyBorder="1"/>
    <xf numFmtId="10" fontId="1" fillId="6" borderId="0" xfId="4" applyNumberFormat="1" applyFill="1"/>
    <xf numFmtId="10" fontId="1" fillId="6" borderId="1" xfId="4" applyNumberFormat="1" applyFill="1" applyBorder="1"/>
    <xf numFmtId="0" fontId="2" fillId="0" borderId="0" xfId="1" applyFont="1"/>
    <xf numFmtId="14" fontId="5" fillId="13" borderId="11" xfId="1" applyNumberFormat="1" applyFont="1" applyFill="1" applyBorder="1"/>
    <xf numFmtId="14" fontId="5" fillId="13" borderId="7" xfId="1" applyNumberFormat="1" applyFont="1" applyFill="1" applyBorder="1"/>
    <xf numFmtId="0" fontId="5" fillId="13" borderId="7" xfId="1" applyFont="1" applyFill="1" applyBorder="1"/>
    <xf numFmtId="14" fontId="5" fillId="13" borderId="1" xfId="1" applyNumberFormat="1" applyFont="1" applyFill="1" applyBorder="1"/>
    <xf numFmtId="0" fontId="1" fillId="0" borderId="0" xfId="1" applyBorder="1"/>
    <xf numFmtId="0" fontId="5" fillId="3" borderId="0" xfId="1" applyFont="1" applyFill="1" applyBorder="1"/>
    <xf numFmtId="0" fontId="8" fillId="5" borderId="0" xfId="1" applyFont="1" applyFill="1" applyBorder="1" applyAlignment="1">
      <alignment horizontal="center"/>
    </xf>
    <xf numFmtId="14" fontId="5" fillId="5" borderId="0" xfId="1" applyNumberFormat="1" applyFont="1" applyFill="1" applyBorder="1"/>
    <xf numFmtId="0" fontId="5" fillId="5" borderId="0" xfId="1" applyFont="1" applyFill="1" applyBorder="1"/>
    <xf numFmtId="2" fontId="6" fillId="0" borderId="0" xfId="1" applyNumberFormat="1" applyFont="1" applyBorder="1"/>
    <xf numFmtId="10" fontId="1" fillId="0" borderId="0" xfId="4" applyNumberFormat="1" applyBorder="1"/>
    <xf numFmtId="0" fontId="5" fillId="17" borderId="0" xfId="1" applyFont="1" applyFill="1" applyBorder="1"/>
    <xf numFmtId="0" fontId="8" fillId="0" borderId="0" xfId="1" applyFont="1" applyFill="1" applyBorder="1" applyAlignment="1">
      <alignment horizontal="center"/>
    </xf>
    <xf numFmtId="14" fontId="7" fillId="0" borderId="0" xfId="1" applyNumberFormat="1" applyFont="1" applyFill="1" applyBorder="1"/>
    <xf numFmtId="0" fontId="7" fillId="0" borderId="0" xfId="1" applyFont="1" applyFill="1" applyBorder="1"/>
    <xf numFmtId="2" fontId="6" fillId="0" borderId="0" xfId="1" applyNumberFormat="1" applyFont="1" applyFill="1" applyBorder="1"/>
    <xf numFmtId="10" fontId="2" fillId="0" borderId="0" xfId="4" applyNumberFormat="1" applyFont="1" applyFill="1" applyBorder="1"/>
    <xf numFmtId="0" fontId="2" fillId="0" borderId="0" xfId="1" applyFont="1" applyFill="1" applyBorder="1"/>
    <xf numFmtId="168" fontId="7" fillId="0" borderId="0" xfId="1" applyNumberFormat="1" applyFont="1" applyFill="1" applyBorder="1"/>
    <xf numFmtId="0" fontId="1" fillId="0" borderId="0" xfId="1" applyFill="1" applyBorder="1"/>
    <xf numFmtId="14" fontId="5" fillId="0" borderId="0" xfId="1" applyNumberFormat="1" applyFont="1" applyFill="1" applyBorder="1"/>
    <xf numFmtId="0" fontId="5" fillId="0" borderId="0" xfId="1" applyFont="1" applyFill="1" applyBorder="1"/>
    <xf numFmtId="10" fontId="1" fillId="0" borderId="0" xfId="4" applyNumberFormat="1" applyFill="1" applyBorder="1"/>
    <xf numFmtId="0" fontId="8" fillId="13" borderId="0" xfId="2" applyFont="1" applyFill="1"/>
    <xf numFmtId="0" fontId="8" fillId="13" borderId="3" xfId="2" applyFont="1" applyFill="1" applyBorder="1" applyAlignment="1">
      <alignment horizontal="center"/>
    </xf>
    <xf numFmtId="0" fontId="8" fillId="13" borderId="5" xfId="2" applyFont="1" applyFill="1" applyBorder="1" applyAlignment="1">
      <alignment horizontal="center"/>
    </xf>
    <xf numFmtId="0" fontId="9" fillId="14" borderId="13" xfId="2" applyFont="1" applyFill="1" applyBorder="1"/>
    <xf numFmtId="0" fontId="9" fillId="14" borderId="2" xfId="2" applyFont="1" applyFill="1" applyBorder="1"/>
    <xf numFmtId="0" fontId="9" fillId="14" borderId="11" xfId="2" quotePrefix="1" applyFont="1" applyFill="1" applyBorder="1"/>
    <xf numFmtId="2" fontId="9" fillId="14" borderId="7" xfId="2" quotePrefix="1" applyNumberFormat="1" applyFont="1" applyFill="1" applyBorder="1"/>
    <xf numFmtId="0" fontId="9" fillId="14" borderId="7" xfId="2" applyFont="1" applyFill="1" applyBorder="1" applyAlignment="1">
      <alignment horizontal="left"/>
    </xf>
    <xf numFmtId="2" fontId="9" fillId="14" borderId="7" xfId="2" applyNumberFormat="1" applyFont="1" applyFill="1" applyBorder="1" applyAlignment="1">
      <alignment horizontal="left"/>
    </xf>
    <xf numFmtId="0" fontId="9" fillId="14" borderId="7" xfId="2" applyFont="1" applyFill="1" applyBorder="1"/>
    <xf numFmtId="0" fontId="9" fillId="13" borderId="1" xfId="2" applyFont="1" applyFill="1" applyBorder="1"/>
    <xf numFmtId="9" fontId="9" fillId="6" borderId="1" xfId="2" applyNumberFormat="1" applyFont="1" applyFill="1" applyBorder="1"/>
    <xf numFmtId="10" fontId="9" fillId="6" borderId="1" xfId="4" applyNumberFormat="1" applyFont="1" applyFill="1" applyBorder="1"/>
    <xf numFmtId="10" fontId="9" fillId="6" borderId="1" xfId="2" applyNumberFormat="1" applyFont="1" applyFill="1" applyBorder="1"/>
    <xf numFmtId="0" fontId="9" fillId="6" borderId="1" xfId="2" applyFont="1" applyFill="1" applyBorder="1"/>
    <xf numFmtId="0" fontId="9" fillId="14" borderId="2" xfId="2" applyFont="1" applyFill="1" applyBorder="1" applyAlignment="1">
      <alignment horizontal="right"/>
    </xf>
    <xf numFmtId="0" fontId="9" fillId="14" borderId="2" xfId="2" applyFont="1" applyFill="1" applyBorder="1" applyAlignment="1">
      <alignment horizontal="center"/>
    </xf>
    <xf numFmtId="0" fontId="6" fillId="6" borderId="1" xfId="2" applyFont="1" applyFill="1" applyBorder="1"/>
    <xf numFmtId="166" fontId="6" fillId="6" borderId="1" xfId="2" applyNumberFormat="1" applyFont="1" applyFill="1" applyBorder="1" applyAlignment="1">
      <alignment horizontal="center"/>
    </xf>
    <xf numFmtId="0" fontId="9" fillId="14" borderId="5" xfId="2" quotePrefix="1" applyFont="1" applyFill="1" applyBorder="1"/>
    <xf numFmtId="0" fontId="30" fillId="0" borderId="0" xfId="0" applyFont="1" applyAlignment="1"/>
    <xf numFmtId="0" fontId="0" fillId="0" borderId="0" xfId="0" applyAlignment="1"/>
    <xf numFmtId="166" fontId="25" fillId="6" borderId="6" xfId="0" applyNumberFormat="1" applyFont="1" applyFill="1" applyBorder="1" applyAlignment="1">
      <alignment horizontal="center"/>
    </xf>
  </cellXfs>
  <cellStyles count="6">
    <cellStyle name="Comma 2" xfId="5" xr:uid="{3EB6C960-A115-4F12-B39E-1E02A4E5C6F6}"/>
    <cellStyle name="Hyperlink" xfId="3" builtinId="8"/>
    <cellStyle name="Normal" xfId="0" builtinId="0"/>
    <cellStyle name="Normal 2" xfId="1" xr:uid="{2627F7E8-1D8A-4275-B09A-45AF34949091}"/>
    <cellStyle name="Normal 3" xfId="2" xr:uid="{605B8042-7AF7-4948-A4CD-B8D45EA84D67}"/>
    <cellStyle name="Percent 2" xfId="4" xr:uid="{8F94B6B0-02EA-4315-9D1E-0C1E50F4F87C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8610522904666E-2"/>
          <c:y val="0.14725758659560584"/>
          <c:w val="0.88967615873600059"/>
          <c:h val="0.83322100824961287"/>
        </c:manualLayout>
      </c:layout>
      <c:lineChart>
        <c:grouping val="standard"/>
        <c:varyColors val="0"/>
        <c:ser>
          <c:idx val="0"/>
          <c:order val="0"/>
          <c:tx>
            <c:strRef>
              <c:f>'[1]Part D-options'!$I$12</c:f>
              <c:strCache>
                <c:ptCount val="1"/>
                <c:pt idx="0">
                  <c:v>Profit on Straddle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'[1]Part D-options'!$D$13:$D$25</c:f>
              <c:numCache>
                <c:formatCode>0.00</c:formatCode>
                <c:ptCount val="13"/>
                <c:pt idx="0">
                  <c:v>86.800000000000182</c:v>
                </c:pt>
                <c:pt idx="1">
                  <c:v>436.80000000000018</c:v>
                </c:pt>
                <c:pt idx="2">
                  <c:v>786.80000000000018</c:v>
                </c:pt>
                <c:pt idx="3">
                  <c:v>1136.8000000000002</c:v>
                </c:pt>
                <c:pt idx="4">
                  <c:v>1486.8000000000002</c:v>
                </c:pt>
                <c:pt idx="5">
                  <c:v>1836.8000000000002</c:v>
                </c:pt>
                <c:pt idx="6">
                  <c:v>2186.8000000000002</c:v>
                </c:pt>
                <c:pt idx="7">
                  <c:v>2536.8000000000002</c:v>
                </c:pt>
                <c:pt idx="8">
                  <c:v>2886.8</c:v>
                </c:pt>
                <c:pt idx="9">
                  <c:v>3236.8</c:v>
                </c:pt>
                <c:pt idx="10">
                  <c:v>3586.8</c:v>
                </c:pt>
                <c:pt idx="11">
                  <c:v>3936.8</c:v>
                </c:pt>
                <c:pt idx="12">
                  <c:v>4286.8</c:v>
                </c:pt>
              </c:numCache>
            </c:numRef>
          </c:cat>
          <c:val>
            <c:numRef>
              <c:f>'[1]Part D-options'!$I$13:$I$25</c:f>
              <c:numCache>
                <c:formatCode>0.00</c:formatCode>
                <c:ptCount val="13"/>
                <c:pt idx="0">
                  <c:v>1881.3785975302033</c:v>
                </c:pt>
                <c:pt idx="1">
                  <c:v>1531.3785975302033</c:v>
                </c:pt>
                <c:pt idx="2">
                  <c:v>1181.3785975302033</c:v>
                </c:pt>
                <c:pt idx="3">
                  <c:v>831.37859753020325</c:v>
                </c:pt>
                <c:pt idx="4">
                  <c:v>481.37859753020331</c:v>
                </c:pt>
                <c:pt idx="5">
                  <c:v>131.37859753020331</c:v>
                </c:pt>
                <c:pt idx="6">
                  <c:v>-218.62140246979669</c:v>
                </c:pt>
                <c:pt idx="7">
                  <c:v>303.91645072546658</c:v>
                </c:pt>
                <c:pt idx="8">
                  <c:v>653.91645072546658</c:v>
                </c:pt>
                <c:pt idx="9">
                  <c:v>1003.9164507254666</c:v>
                </c:pt>
                <c:pt idx="10">
                  <c:v>1353.9164507254666</c:v>
                </c:pt>
                <c:pt idx="11">
                  <c:v>1703.9164507254666</c:v>
                </c:pt>
                <c:pt idx="12">
                  <c:v>2053.9164507254668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D2D-9547-F55936FD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19807"/>
        <c:axId val="565920847"/>
      </c:lineChart>
      <c:catAx>
        <c:axId val="11029198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20847"/>
        <c:crosses val="autoZero"/>
        <c:auto val="1"/>
        <c:lblAlgn val="ctr"/>
        <c:lblOffset val="100"/>
        <c:noMultiLvlLbl val="0"/>
      </c:catAx>
      <c:valAx>
        <c:axId val="5659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19807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9</xdr:row>
      <xdr:rowOff>19050</xdr:rowOff>
    </xdr:from>
    <xdr:to>
      <xdr:col>14</xdr:col>
      <xdr:colOff>866775</xdr:colOff>
      <xdr:row>11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F9EC87-2558-4D34-B217-CFB944A41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76325" y="2495550"/>
          <a:ext cx="1733550" cy="498475"/>
        </a:xfrm>
        <a:prstGeom prst="rect">
          <a:avLst/>
        </a:prstGeom>
        <a:noFill/>
      </xdr:spPr>
    </xdr:pic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704850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AD828-B6DA-4A6E-BFA6-5CBBA88C1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297650" y="2476500"/>
          <a:ext cx="704850" cy="358775"/>
        </a:xfrm>
        <a:prstGeom prst="rect">
          <a:avLst/>
        </a:prstGeom>
        <a:noFill/>
      </xdr:spPr>
    </xdr:pic>
    <xdr:clientData/>
  </xdr:twoCellAnchor>
  <xdr:twoCellAnchor>
    <xdr:from>
      <xdr:col>19</xdr:col>
      <xdr:colOff>0</xdr:colOff>
      <xdr:row>11</xdr:row>
      <xdr:rowOff>104775</xdr:rowOff>
    </xdr:from>
    <xdr:to>
      <xdr:col>21</xdr:col>
      <xdr:colOff>76200</xdr:colOff>
      <xdr:row>13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974BA-75F3-4FF9-B4F6-C9D42FD59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297650" y="3013075"/>
          <a:ext cx="1987550" cy="511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192767</xdr:colOff>
      <xdr:row>19</xdr:row>
      <xdr:rowOff>90716</xdr:rowOff>
    </xdr:from>
    <xdr:to>
      <xdr:col>16</xdr:col>
      <xdr:colOff>604536</xdr:colOff>
      <xdr:row>35</xdr:row>
      <xdr:rowOff>207348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463505-5909-4C65-A580-70B0D165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32155" y="4794900"/>
          <a:ext cx="12321259" cy="36415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304800</xdr:colOff>
      <xdr:row>92</xdr:row>
      <xdr:rowOff>88900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6CFDE86C-31A1-4E5C-7C23-36AFE8963EFD}"/>
            </a:ext>
          </a:extLst>
        </xdr:cNvPr>
        <xdr:cNvSpPr>
          <a:spLocks noChangeAspect="1" noChangeArrowheads="1"/>
        </xdr:cNvSpPr>
      </xdr:nvSpPr>
      <xdr:spPr bwMode="auto">
        <a:xfrm>
          <a:off x="6832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299356</xdr:colOff>
      <xdr:row>36</xdr:row>
      <xdr:rowOff>165260</xdr:rowOff>
    </xdr:from>
    <xdr:to>
      <xdr:col>12</xdr:col>
      <xdr:colOff>879928</xdr:colOff>
      <xdr:row>58</xdr:row>
      <xdr:rowOff>32023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C2AC67-84ED-E7B8-5FF5-76407D5CD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927" y="8619831"/>
          <a:ext cx="8663215" cy="4656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762000</xdr:colOff>
      <xdr:row>22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E1B024-7237-4AEF-926B-628E3DC48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5950" y="3994150"/>
          <a:ext cx="762000" cy="3556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86591</xdr:colOff>
      <xdr:row>25</xdr:row>
      <xdr:rowOff>181841</xdr:rowOff>
    </xdr:from>
    <xdr:to>
      <xdr:col>16</xdr:col>
      <xdr:colOff>480122</xdr:colOff>
      <xdr:row>81</xdr:row>
      <xdr:rowOff>114660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185E9C-387E-4D8B-AC25-ED5C43276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103" y="4952085"/>
          <a:ext cx="17600482" cy="10340624"/>
        </a:xfrm>
        <a:prstGeom prst="rect">
          <a:avLst/>
        </a:prstGeom>
      </xdr:spPr>
    </xdr:pic>
    <xdr:clientData/>
  </xdr:twoCellAnchor>
  <xdr:twoCellAnchor>
    <xdr:from>
      <xdr:col>15</xdr:col>
      <xdr:colOff>216829</xdr:colOff>
      <xdr:row>0</xdr:row>
      <xdr:rowOff>139390</xdr:rowOff>
    </xdr:from>
    <xdr:to>
      <xdr:col>37</xdr:col>
      <xdr:colOff>254929</xdr:colOff>
      <xdr:row>21</xdr:row>
      <xdr:rowOff>10687</xdr:rowOff>
    </xdr:to>
    <xdr:pic>
      <xdr:nvPicPr>
        <xdr:cNvPr id="4" name="image_0">
          <a:extLst>
            <a:ext uri="{FF2B5EF4-FFF2-40B4-BE49-F238E27FC236}">
              <a16:creationId xmlns:a16="http://schemas.microsoft.com/office/drawing/2014/main" id="{2463428D-90D3-DD74-BD22-925A01243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780" y="139390"/>
          <a:ext cx="13868710" cy="3898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263294</xdr:colOff>
      <xdr:row>23</xdr:row>
      <xdr:rowOff>77439</xdr:rowOff>
    </xdr:from>
    <xdr:to>
      <xdr:col>42</xdr:col>
      <xdr:colOff>13940</xdr:colOff>
      <xdr:row>50</xdr:row>
      <xdr:rowOff>166340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0FEF0A-1CFB-2450-0239-9AFFDCA3C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9270" y="4475976"/>
          <a:ext cx="15439792" cy="5106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294269</xdr:colOff>
      <xdr:row>55</xdr:row>
      <xdr:rowOff>30976</xdr:rowOff>
    </xdr:from>
    <xdr:to>
      <xdr:col>41</xdr:col>
      <xdr:colOff>581877</xdr:colOff>
      <xdr:row>83</xdr:row>
      <xdr:rowOff>151627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DC1E7D-13D5-685D-639B-C9E116EE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0245" y="10376830"/>
          <a:ext cx="15357242" cy="5324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418171</xdr:colOff>
      <xdr:row>86</xdr:row>
      <xdr:rowOff>170366</xdr:rowOff>
    </xdr:from>
    <xdr:to>
      <xdr:col>37</xdr:col>
      <xdr:colOff>486782</xdr:colOff>
      <xdr:row>113</xdr:row>
      <xdr:rowOff>143262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367EA4-7B8F-A385-6BE2-9D06B1364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6586" y="16277683"/>
          <a:ext cx="15757757" cy="4990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120650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6E1740C-F009-4731-988F-6F305F0F1DCE}"/>
            </a:ext>
          </a:extLst>
        </xdr:cNvPr>
        <xdr:cNvSpPr>
          <a:spLocks noChangeAspect="1" noChangeArrowheads="1"/>
        </xdr:cNvSpPr>
      </xdr:nvSpPr>
      <xdr:spPr bwMode="auto">
        <a:xfrm>
          <a:off x="6838950" y="31305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120650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81D9A86-1559-4F5E-9359-A40F8D834793}"/>
            </a:ext>
          </a:extLst>
        </xdr:cNvPr>
        <xdr:cNvSpPr>
          <a:spLocks noChangeAspect="1" noChangeArrowheads="1"/>
        </xdr:cNvSpPr>
      </xdr:nvSpPr>
      <xdr:spPr bwMode="auto">
        <a:xfrm>
          <a:off x="7772400" y="23939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1265918</xdr:colOff>
      <xdr:row>51</xdr:row>
      <xdr:rowOff>92075</xdr:rowOff>
    </xdr:from>
    <xdr:to>
      <xdr:col>10</xdr:col>
      <xdr:colOff>231775</xdr:colOff>
      <xdr:row>72</xdr:row>
      <xdr:rowOff>155847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4F2413-BDDA-4F85-8C35-583C92FAD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918" y="9344932"/>
          <a:ext cx="8309428" cy="3873772"/>
        </a:xfrm>
        <a:prstGeom prst="rect">
          <a:avLst/>
        </a:prstGeom>
      </xdr:spPr>
    </xdr:pic>
    <xdr:clientData/>
  </xdr:twoCellAnchor>
  <xdr:twoCellAnchor editAs="oneCell">
    <xdr:from>
      <xdr:col>2</xdr:col>
      <xdr:colOff>1164771</xdr:colOff>
      <xdr:row>27</xdr:row>
      <xdr:rowOff>67583</xdr:rowOff>
    </xdr:from>
    <xdr:to>
      <xdr:col>10</xdr:col>
      <xdr:colOff>130628</xdr:colOff>
      <xdr:row>49</xdr:row>
      <xdr:rowOff>138612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BE715-12BB-44A4-922E-A6B68A5B4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0771" y="4966154"/>
          <a:ext cx="8309428" cy="4062458"/>
        </a:xfrm>
        <a:prstGeom prst="rect">
          <a:avLst/>
        </a:prstGeom>
      </xdr:spPr>
    </xdr:pic>
    <xdr:clientData/>
  </xdr:twoCellAnchor>
  <xdr:twoCellAnchor editAs="oneCell">
    <xdr:from>
      <xdr:col>2</xdr:col>
      <xdr:colOff>1615443</xdr:colOff>
      <xdr:row>3</xdr:row>
      <xdr:rowOff>41116</xdr:rowOff>
    </xdr:from>
    <xdr:to>
      <xdr:col>9</xdr:col>
      <xdr:colOff>341546</xdr:colOff>
      <xdr:row>26</xdr:row>
      <xdr:rowOff>18893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FC703F-715C-4352-AD36-D123A7E78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71443" y="585402"/>
          <a:ext cx="7434674" cy="41506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26</xdr:row>
      <xdr:rowOff>166687</xdr:rowOff>
    </xdr:from>
    <xdr:to>
      <xdr:col>8</xdr:col>
      <xdr:colOff>1344706</xdr:colOff>
      <xdr:row>46</xdr:row>
      <xdr:rowOff>56030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200A3-F3B4-411E-B710-24336ECB6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504589</xdr:colOff>
      <xdr:row>0</xdr:row>
      <xdr:rowOff>37413</xdr:rowOff>
    </xdr:from>
    <xdr:to>
      <xdr:col>16</xdr:col>
      <xdr:colOff>514174</xdr:colOff>
      <xdr:row>17</xdr:row>
      <xdr:rowOff>2805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B86FB8-AE64-48FD-A819-4A94188BA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9994" y="37413"/>
          <a:ext cx="6102153" cy="3028838"/>
        </a:xfrm>
        <a:prstGeom prst="rect">
          <a:avLst/>
        </a:prstGeom>
      </xdr:spPr>
    </xdr:pic>
    <xdr:clientData/>
  </xdr:twoCellAnchor>
  <xdr:twoCellAnchor editAs="oneCell">
    <xdr:from>
      <xdr:col>5</xdr:col>
      <xdr:colOff>609259</xdr:colOff>
      <xdr:row>17</xdr:row>
      <xdr:rowOff>101067</xdr:rowOff>
    </xdr:from>
    <xdr:to>
      <xdr:col>19</xdr:col>
      <xdr:colOff>67446</xdr:colOff>
      <xdr:row>36</xdr:row>
      <xdr:rowOff>138552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B9AC00-72C2-4EB7-8A52-DC57AAB8D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234" y="3166314"/>
          <a:ext cx="8018928" cy="3463349"/>
        </a:xfrm>
        <a:prstGeom prst="rect">
          <a:avLst/>
        </a:prstGeom>
      </xdr:spPr>
    </xdr:pic>
    <xdr:clientData/>
  </xdr:twoCellAnchor>
  <xdr:twoCellAnchor editAs="oneCell">
    <xdr:from>
      <xdr:col>0</xdr:col>
      <xdr:colOff>51486</xdr:colOff>
      <xdr:row>14</xdr:row>
      <xdr:rowOff>77230</xdr:rowOff>
    </xdr:from>
    <xdr:to>
      <xdr:col>5</xdr:col>
      <xdr:colOff>399325</xdr:colOff>
      <xdr:row>32</xdr:row>
      <xdr:rowOff>17612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904187-911F-4864-B695-034DC2916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86" y="2600068"/>
          <a:ext cx="5813988" cy="31840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1242167\Downloads\LIMICA%20EXCEL%20SHEET.xlsx" TargetMode="External"/><Relationship Id="rId1" Type="http://schemas.openxmlformats.org/officeDocument/2006/relationships/externalLinkPath" Target="/Users/n1242167/Downloads/LIMICA%20EXCEL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1242167\Downloads\Limmica%20vip.xlsx" TargetMode="External"/><Relationship Id="rId1" Type="http://schemas.openxmlformats.org/officeDocument/2006/relationships/externalLinkPath" Target="/Users/n1242167/Downloads/Limmica%20v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 B- E&amp;I and DDM"/>
      <sheetName val="Part B- PE "/>
      <sheetName val="PE "/>
      <sheetName val="Part C-Excel function"/>
      <sheetName val="Part C-Bond Yield"/>
      <sheetName val="Part C-Bond Duration "/>
      <sheetName val="Part D-options"/>
      <sheetName val="Part D-Options Maturity"/>
      <sheetName val="Part D-Goal Seek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I12" t="str">
            <v>Profit on Straddle</v>
          </cell>
        </row>
        <row r="13">
          <cell r="D13">
            <v>86.800000000000182</v>
          </cell>
          <cell r="I13">
            <v>1881.3785975302033</v>
          </cell>
        </row>
        <row r="14">
          <cell r="D14">
            <v>436.80000000000018</v>
          </cell>
          <cell r="I14">
            <v>1531.3785975302033</v>
          </cell>
        </row>
        <row r="15">
          <cell r="D15">
            <v>786.80000000000018</v>
          </cell>
          <cell r="I15">
            <v>1181.3785975302033</v>
          </cell>
        </row>
        <row r="16">
          <cell r="D16">
            <v>1136.8000000000002</v>
          </cell>
          <cell r="I16">
            <v>831.37859753020325</v>
          </cell>
        </row>
        <row r="17">
          <cell r="D17">
            <v>1486.8000000000002</v>
          </cell>
          <cell r="I17">
            <v>481.37859753020331</v>
          </cell>
        </row>
        <row r="18">
          <cell r="D18">
            <v>1836.8000000000002</v>
          </cell>
          <cell r="I18">
            <v>131.37859753020331</v>
          </cell>
        </row>
        <row r="19">
          <cell r="D19">
            <v>2186.8000000000002</v>
          </cell>
          <cell r="I19">
            <v>-218.62140246979669</v>
          </cell>
        </row>
        <row r="20">
          <cell r="D20">
            <v>2536.8000000000002</v>
          </cell>
          <cell r="I20">
            <v>303.91645072546658</v>
          </cell>
        </row>
        <row r="21">
          <cell r="D21">
            <v>2886.8</v>
          </cell>
          <cell r="I21">
            <v>653.91645072546658</v>
          </cell>
        </row>
        <row r="22">
          <cell r="D22">
            <v>3236.8</v>
          </cell>
          <cell r="I22">
            <v>1003.9164507254666</v>
          </cell>
        </row>
        <row r="23">
          <cell r="D23">
            <v>3586.8</v>
          </cell>
          <cell r="I23">
            <v>1353.9164507254666</v>
          </cell>
        </row>
        <row r="24">
          <cell r="D24">
            <v>3936.8</v>
          </cell>
          <cell r="I24">
            <v>1703.9164507254666</v>
          </cell>
        </row>
        <row r="25">
          <cell r="D25">
            <v>4286.8</v>
          </cell>
          <cell r="I25">
            <v>2053.9164507254668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M and DDM"/>
      <sheetName val="PE multiple (best)"/>
      <sheetName val="PE multiple"/>
      <sheetName val="Task 3"/>
      <sheetName val="Excel Function"/>
      <sheetName val="Duration Function"/>
      <sheetName val="Task 4 "/>
      <sheetName val="Maturity"/>
      <sheetName val="Annualized volatility Dividend"/>
      <sheetName val="Ft data "/>
      <sheetName val="3i group plc Goal Seek"/>
    </sheetNames>
    <sheetDataSet>
      <sheetData sheetId="0"/>
      <sheetData sheetId="1"/>
      <sheetData sheetId="2"/>
      <sheetData sheetId="3"/>
      <sheetData sheetId="4">
        <row r="4">
          <cell r="B4">
            <v>48285</v>
          </cell>
        </row>
        <row r="5">
          <cell r="B5">
            <v>5.7500000000000002E-2</v>
          </cell>
        </row>
        <row r="6">
          <cell r="B6">
            <v>5.0980839999999999E-2</v>
          </cell>
        </row>
        <row r="9">
          <cell r="B9">
            <v>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rkets.ft.com/data/investment-trust/tearsheet/summary?s=III:L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1986-7682-4F6B-B487-F9BA19A9C966}">
  <dimension ref="A1:AH18"/>
  <sheetViews>
    <sheetView zoomScale="39" workbookViewId="0">
      <selection activeCell="E39" sqref="E39"/>
    </sheetView>
  </sheetViews>
  <sheetFormatPr defaultColWidth="8.81640625" defaultRowHeight="17" x14ac:dyDescent="0.4"/>
  <cols>
    <col min="1" max="1" width="8.08984375" bestFit="1" customWidth="1"/>
    <col min="2" max="2" width="15.08984375" bestFit="1" customWidth="1"/>
    <col min="3" max="3" width="27.7265625" bestFit="1" customWidth="1"/>
    <col min="4" max="7" width="15.6328125" customWidth="1"/>
    <col min="8" max="8" width="15.81640625" customWidth="1"/>
    <col min="9" max="10" width="15.6328125" customWidth="1"/>
    <col min="12" max="12" width="13.08984375" style="94" customWidth="1"/>
    <col min="13" max="13" width="14.08984375" style="94" bestFit="1" customWidth="1"/>
    <col min="14" max="15" width="13.08984375" style="94" customWidth="1"/>
    <col min="16" max="16" width="14.26953125" style="94" bestFit="1" customWidth="1"/>
    <col min="17" max="20" width="13.08984375" style="94" customWidth="1"/>
    <col min="21" max="21" width="14.26953125" style="94" bestFit="1" customWidth="1"/>
    <col min="22" max="22" width="11.6328125" customWidth="1"/>
    <col min="23" max="23" width="16.26953125" bestFit="1" customWidth="1"/>
    <col min="26" max="26" width="24.6328125" bestFit="1" customWidth="1"/>
    <col min="27" max="27" width="6.36328125" customWidth="1"/>
    <col min="28" max="28" width="8.81640625" hidden="1" customWidth="1"/>
    <col min="29" max="29" width="19.36328125" bestFit="1" customWidth="1"/>
    <col min="30" max="30" width="59.7265625" customWidth="1"/>
  </cols>
  <sheetData>
    <row r="1" spans="1:34" ht="17.5" x14ac:dyDescent="0.4">
      <c r="L1" s="93" t="s">
        <v>206</v>
      </c>
      <c r="M1" s="93"/>
      <c r="N1" s="93"/>
      <c r="O1" s="93"/>
      <c r="P1" s="93"/>
      <c r="Q1" s="93"/>
      <c r="S1" s="93" t="s">
        <v>207</v>
      </c>
      <c r="T1" s="93"/>
      <c r="U1" s="93"/>
      <c r="V1" s="93"/>
      <c r="W1" s="93"/>
    </row>
    <row r="2" spans="1:34" ht="54.5" thickBot="1" x14ac:dyDescent="0.45">
      <c r="A2" s="98" t="s">
        <v>0</v>
      </c>
      <c r="B2" s="99" t="s">
        <v>208</v>
      </c>
      <c r="C2" s="98" t="s">
        <v>1</v>
      </c>
      <c r="D2" s="98" t="s">
        <v>2</v>
      </c>
      <c r="E2" s="98" t="s">
        <v>3</v>
      </c>
      <c r="F2" s="98" t="s">
        <v>4</v>
      </c>
      <c r="G2" s="98" t="s">
        <v>5</v>
      </c>
      <c r="H2" s="98" t="s">
        <v>209</v>
      </c>
      <c r="I2" s="98" t="s">
        <v>6</v>
      </c>
      <c r="J2" s="98" t="s">
        <v>210</v>
      </c>
      <c r="L2" s="114" t="s">
        <v>0</v>
      </c>
      <c r="M2" s="115" t="s">
        <v>211</v>
      </c>
      <c r="N2" s="115" t="s">
        <v>212</v>
      </c>
      <c r="O2" s="115" t="s">
        <v>213</v>
      </c>
      <c r="P2" s="116" t="s">
        <v>214</v>
      </c>
      <c r="Q2" s="117" t="s">
        <v>215</v>
      </c>
      <c r="S2" s="114" t="s">
        <v>0</v>
      </c>
      <c r="T2" s="115" t="s">
        <v>216</v>
      </c>
      <c r="U2" s="115" t="s">
        <v>217</v>
      </c>
      <c r="V2" s="115" t="s">
        <v>213</v>
      </c>
      <c r="W2" s="125" t="s">
        <v>16</v>
      </c>
    </row>
    <row r="3" spans="1:34" ht="17.5" x14ac:dyDescent="0.4">
      <c r="A3" s="102">
        <v>2024</v>
      </c>
      <c r="B3" s="100">
        <v>3.9740000000000002</v>
      </c>
      <c r="C3" s="104">
        <f>H3*+F3</f>
        <v>0.17555071999999999</v>
      </c>
      <c r="D3" s="101">
        <v>0.1424</v>
      </c>
      <c r="E3" s="105">
        <f t="shared" ref="E3:E8" si="0">B3*D3</f>
        <v>0.5658976</v>
      </c>
      <c r="F3" s="106">
        <f t="shared" ref="F3:F8" si="1">1-D3</f>
        <v>0.85760000000000003</v>
      </c>
      <c r="G3" s="95">
        <f t="shared" ref="G3:G8" si="2">B3*F3</f>
        <v>3.4081024000000002</v>
      </c>
      <c r="H3" s="101">
        <v>0.20469999999999999</v>
      </c>
      <c r="I3" s="107">
        <f t="shared" ref="I3:I8" si="3">G3*((H3-0.1119)/0.1119)</f>
        <v>2.8263798277033065</v>
      </c>
      <c r="J3" s="108">
        <f t="shared" ref="J3:J8" si="4">(B3*F3)*H3</f>
        <v>0.69763856128000001</v>
      </c>
      <c r="L3" s="118">
        <v>1</v>
      </c>
      <c r="M3" s="107">
        <f>B3</f>
        <v>3.9740000000000002</v>
      </c>
      <c r="N3" s="107">
        <f>I3</f>
        <v>2.8263798277033065</v>
      </c>
      <c r="O3" s="119">
        <f>1/(1+$D$14)^L3</f>
        <v>0.89935660028815378</v>
      </c>
      <c r="P3" s="120">
        <f>M3/D14</f>
        <v>35.511947527389061</v>
      </c>
      <c r="Q3" s="108">
        <f>N3*O3</f>
        <v>2.5419233529662635</v>
      </c>
      <c r="S3" s="118">
        <v>1</v>
      </c>
      <c r="T3" s="107">
        <f>E3</f>
        <v>0.5658976</v>
      </c>
      <c r="U3" s="126"/>
      <c r="V3" s="119">
        <f>1/(1+$D$14)^S3</f>
        <v>0.89935660028815378</v>
      </c>
      <c r="W3" s="127">
        <f>T3*V3</f>
        <v>0.50894374164722556</v>
      </c>
      <c r="Z3" s="28" t="s">
        <v>218</v>
      </c>
      <c r="AA3" s="28"/>
      <c r="AB3" s="28"/>
      <c r="AC3" s="130">
        <v>47560000000</v>
      </c>
    </row>
    <row r="4" spans="1:34" ht="17.5" x14ac:dyDescent="0.4">
      <c r="A4" s="102">
        <v>2025</v>
      </c>
      <c r="B4" s="103">
        <f>+B3+J3</f>
        <v>4.67163856128</v>
      </c>
      <c r="C4" s="104">
        <f t="shared" ref="C4:C8" si="5">H4*+F4</f>
        <v>0.15752772000000001</v>
      </c>
      <c r="D4" s="101">
        <v>0.15579999999999999</v>
      </c>
      <c r="E4" s="105">
        <f t="shared" si="0"/>
        <v>0.72784128784742397</v>
      </c>
      <c r="F4" s="106">
        <f t="shared" si="1"/>
        <v>0.84420000000000006</v>
      </c>
      <c r="G4" s="95">
        <f t="shared" si="2"/>
        <v>3.9437972734325761</v>
      </c>
      <c r="H4" s="101">
        <v>0.18659999999999999</v>
      </c>
      <c r="I4" s="107">
        <f t="shared" si="3"/>
        <v>2.632722576634615</v>
      </c>
      <c r="J4" s="108">
        <f t="shared" si="4"/>
        <v>0.73591257122251863</v>
      </c>
      <c r="L4" s="118">
        <v>2</v>
      </c>
      <c r="M4" s="107">
        <f>B4</f>
        <v>4.67163856128</v>
      </c>
      <c r="N4" s="107">
        <f>I4</f>
        <v>2.632722576634615</v>
      </c>
      <c r="O4" s="119">
        <f t="shared" ref="O4:O7" si="6">1/(1+$D$14)^L4</f>
        <v>0.80884229448186606</v>
      </c>
      <c r="P4" s="204"/>
      <c r="Q4" s="108">
        <f>N4*O4</f>
        <v>2.1294573696193524</v>
      </c>
      <c r="S4" s="118">
        <v>2</v>
      </c>
      <c r="T4" s="107">
        <f>E4</f>
        <v>0.72784128784742397</v>
      </c>
      <c r="U4" s="107"/>
      <c r="V4" s="119">
        <f t="shared" ref="V4:V7" si="7">1/(1+$D$14)^S4</f>
        <v>0.80884229448186606</v>
      </c>
      <c r="W4" s="127">
        <f>T4*V4</f>
        <v>0.58870881728114677</v>
      </c>
      <c r="Z4" s="28"/>
      <c r="AA4" s="28"/>
      <c r="AB4" s="28"/>
      <c r="AC4" s="28"/>
    </row>
    <row r="5" spans="1:34" ht="17.5" x14ac:dyDescent="0.4">
      <c r="A5" s="102">
        <v>2026</v>
      </c>
      <c r="B5" s="103">
        <f t="shared" ref="B5:B8" si="8">+B4+J4</f>
        <v>5.407551132502519</v>
      </c>
      <c r="C5" s="104">
        <f t="shared" si="5"/>
        <v>0.13644945999999999</v>
      </c>
      <c r="D5" s="101">
        <v>0.16339999999999999</v>
      </c>
      <c r="E5" s="105">
        <f t="shared" si="0"/>
        <v>0.88359385505091159</v>
      </c>
      <c r="F5" s="106">
        <f t="shared" si="1"/>
        <v>0.83660000000000001</v>
      </c>
      <c r="G5" s="95">
        <f t="shared" si="2"/>
        <v>4.5239572774516077</v>
      </c>
      <c r="H5" s="101">
        <v>0.16309999999999999</v>
      </c>
      <c r="I5" s="107">
        <f t="shared" si="3"/>
        <v>2.0699429187267406</v>
      </c>
      <c r="J5" s="108">
        <f t="shared" si="4"/>
        <v>0.7378574319523572</v>
      </c>
      <c r="L5" s="118">
        <v>3</v>
      </c>
      <c r="M5" s="107">
        <f>B5</f>
        <v>5.407551132502519</v>
      </c>
      <c r="N5" s="107">
        <f>I5</f>
        <v>2.0699429187267406</v>
      </c>
      <c r="O5" s="119">
        <f t="shared" si="6"/>
        <v>0.72743765613448075</v>
      </c>
      <c r="P5" s="204"/>
      <c r="Q5" s="108">
        <f>N5*O5</f>
        <v>1.5057544251307462</v>
      </c>
      <c r="S5" s="118">
        <v>3</v>
      </c>
      <c r="T5" s="107">
        <f>E5</f>
        <v>0.88359385505091159</v>
      </c>
      <c r="U5" s="107"/>
      <c r="V5" s="119">
        <f t="shared" si="7"/>
        <v>0.72743765613448075</v>
      </c>
      <c r="W5" s="127">
        <f>T5*V5</f>
        <v>0.6427594428930653</v>
      </c>
      <c r="Z5" s="28" t="s">
        <v>219</v>
      </c>
      <c r="AA5" s="28"/>
      <c r="AB5" s="28"/>
      <c r="AC5" s="28">
        <v>962652872</v>
      </c>
    </row>
    <row r="6" spans="1:34" ht="17.5" x14ac:dyDescent="0.4">
      <c r="A6" s="102">
        <v>2027</v>
      </c>
      <c r="B6" s="103">
        <f t="shared" si="8"/>
        <v>6.1454085644548764</v>
      </c>
      <c r="C6" s="104">
        <f t="shared" si="5"/>
        <v>0.1778206</v>
      </c>
      <c r="D6" s="101">
        <v>0.1197</v>
      </c>
      <c r="E6" s="105">
        <f t="shared" si="0"/>
        <v>0.73560540516524875</v>
      </c>
      <c r="F6" s="106">
        <f t="shared" si="1"/>
        <v>0.88029999999999997</v>
      </c>
      <c r="G6" s="95">
        <f t="shared" si="2"/>
        <v>5.4098031592896278</v>
      </c>
      <c r="H6" s="101">
        <v>0.20200000000000001</v>
      </c>
      <c r="I6" s="107">
        <f t="shared" si="3"/>
        <v>4.3558826152993344</v>
      </c>
      <c r="J6" s="108">
        <f t="shared" si="4"/>
        <v>1.0927802381765048</v>
      </c>
      <c r="L6" s="118">
        <v>4</v>
      </c>
      <c r="M6" s="107">
        <f>B6</f>
        <v>6.1454085644548764</v>
      </c>
      <c r="N6" s="107">
        <f>I6</f>
        <v>4.3558826152993344</v>
      </c>
      <c r="O6" s="119">
        <f t="shared" si="6"/>
        <v>0.65422585734268979</v>
      </c>
      <c r="P6" s="204"/>
      <c r="Q6" s="108">
        <f>N6*O6</f>
        <v>2.8497310384783248</v>
      </c>
      <c r="S6" s="118">
        <v>4</v>
      </c>
      <c r="T6" s="107">
        <f>E6</f>
        <v>0.73560540516524875</v>
      </c>
      <c r="U6" s="107"/>
      <c r="V6" s="119">
        <f t="shared" si="7"/>
        <v>0.65422585734268979</v>
      </c>
      <c r="W6" s="127">
        <f>T6*V6</f>
        <v>0.48125207686015153</v>
      </c>
      <c r="Z6" s="28"/>
      <c r="AA6" s="28"/>
      <c r="AB6" s="28"/>
      <c r="AC6" s="28"/>
    </row>
    <row r="7" spans="1:34" ht="18" thickBot="1" x14ac:dyDescent="0.45">
      <c r="A7" s="102">
        <v>2028</v>
      </c>
      <c r="B7" s="103">
        <f t="shared" si="8"/>
        <v>7.238188802631381</v>
      </c>
      <c r="C7" s="104">
        <f t="shared" si="5"/>
        <v>0.1778206</v>
      </c>
      <c r="D7" s="101">
        <v>0.1197</v>
      </c>
      <c r="E7" s="105">
        <f t="shared" si="0"/>
        <v>0.86641119967497626</v>
      </c>
      <c r="F7" s="106">
        <f t="shared" si="1"/>
        <v>0.88029999999999997</v>
      </c>
      <c r="G7" s="95">
        <f t="shared" si="2"/>
        <v>6.3717776029564046</v>
      </c>
      <c r="H7" s="101">
        <v>0.20200000000000001</v>
      </c>
      <c r="I7" s="107">
        <f t="shared" si="3"/>
        <v>5.1304482754814309</v>
      </c>
      <c r="J7" s="108">
        <f t="shared" si="4"/>
        <v>1.2870990757971938</v>
      </c>
      <c r="L7" s="118">
        <v>5</v>
      </c>
      <c r="M7" s="107">
        <f>B7</f>
        <v>7.238188802631381</v>
      </c>
      <c r="N7" s="107">
        <f>I7</f>
        <v>5.1304482754814309</v>
      </c>
      <c r="O7" s="119">
        <f t="shared" si="6"/>
        <v>0.58838234288032421</v>
      </c>
      <c r="P7" s="204"/>
      <c r="Q7" s="108">
        <f>N7*O7</f>
        <v>3.0186651763540833</v>
      </c>
      <c r="S7" s="118">
        <v>5</v>
      </c>
      <c r="T7" s="107">
        <f>E7</f>
        <v>0.86641119967497626</v>
      </c>
      <c r="U7" s="126">
        <f>D12</f>
        <v>76.18258072336225</v>
      </c>
      <c r="V7" s="119">
        <f t="shared" si="7"/>
        <v>0.58838234288032421</v>
      </c>
      <c r="W7" s="127">
        <f>(T7+U7)*V7</f>
        <v>45.334266384243818</v>
      </c>
      <c r="Z7" s="28" t="s">
        <v>220</v>
      </c>
      <c r="AA7" s="28"/>
      <c r="AB7" s="28"/>
      <c r="AC7" s="28">
        <f>AC3/AC5</f>
        <v>49.405140090830166</v>
      </c>
    </row>
    <row r="8" spans="1:34" ht="18" thickTop="1" x14ac:dyDescent="0.4">
      <c r="A8" s="102">
        <v>2029</v>
      </c>
      <c r="B8" s="103">
        <f t="shared" si="8"/>
        <v>8.5252878784285748</v>
      </c>
      <c r="C8" s="104">
        <f t="shared" si="5"/>
        <v>9.8510851800000007E-2</v>
      </c>
      <c r="D8" s="101">
        <v>0.1197</v>
      </c>
      <c r="E8" s="105">
        <f t="shared" si="0"/>
        <v>1.0204769590479004</v>
      </c>
      <c r="F8" s="106">
        <f t="shared" si="1"/>
        <v>0.88029999999999997</v>
      </c>
      <c r="G8" s="95">
        <f t="shared" si="2"/>
        <v>7.5048109193806738</v>
      </c>
      <c r="H8" s="101">
        <f>D14</f>
        <v>0.11190600000000001</v>
      </c>
      <c r="I8" s="107">
        <f t="shared" si="3"/>
        <v>4.0240273026210079E-4</v>
      </c>
      <c r="J8" s="108">
        <f t="shared" si="4"/>
        <v>0.83983337074421371</v>
      </c>
      <c r="L8" s="123" t="s">
        <v>221</v>
      </c>
      <c r="M8" s="124"/>
      <c r="N8" s="124"/>
      <c r="O8" s="124"/>
      <c r="P8" s="121">
        <f>P3+SUM(Q3:Q7)</f>
        <v>47.557478889937833</v>
      </c>
      <c r="Q8" s="122"/>
      <c r="S8" s="123" t="s">
        <v>221</v>
      </c>
      <c r="T8" s="124"/>
      <c r="U8" s="124"/>
      <c r="V8" s="129"/>
      <c r="W8" s="128">
        <f>SUM(W3:W7)</f>
        <v>47.55593046292541</v>
      </c>
      <c r="Z8" s="28"/>
      <c r="AA8" s="28"/>
      <c r="AB8" s="28"/>
      <c r="AC8" s="28"/>
    </row>
    <row r="9" spans="1:34" x14ac:dyDescent="0.4">
      <c r="Z9" s="28" t="s">
        <v>222</v>
      </c>
      <c r="AA9" s="28"/>
      <c r="AB9" s="28"/>
      <c r="AC9" s="28">
        <f>AC7*100</f>
        <v>4940.5140090830164</v>
      </c>
      <c r="AE9">
        <v>2475</v>
      </c>
      <c r="AF9">
        <f>AC9-AE9</f>
        <v>2465.5140090830164</v>
      </c>
    </row>
    <row r="10" spans="1:34" x14ac:dyDescent="0.4">
      <c r="Z10" s="28"/>
      <c r="AA10" s="28"/>
      <c r="AB10" s="28"/>
      <c r="AC10" s="28"/>
    </row>
    <row r="11" spans="1:34" ht="17" customHeight="1" x14ac:dyDescent="0.55000000000000004">
      <c r="AC11" s="202"/>
      <c r="AD11" s="203"/>
      <c r="AE11" s="203"/>
      <c r="AF11" s="203"/>
      <c r="AG11" s="203"/>
      <c r="AH11" s="203"/>
    </row>
    <row r="12" spans="1:34" ht="17.5" x14ac:dyDescent="0.4">
      <c r="C12" s="112" t="s">
        <v>217</v>
      </c>
      <c r="D12" s="113">
        <f>E8/(D14-C8)</f>
        <v>76.18258072336225</v>
      </c>
      <c r="AC12" s="203"/>
      <c r="AD12" s="203"/>
      <c r="AE12" s="203"/>
      <c r="AF12" s="203"/>
      <c r="AG12" s="203"/>
      <c r="AH12" s="203"/>
    </row>
    <row r="13" spans="1:34" ht="17.5" x14ac:dyDescent="0.4">
      <c r="C13" s="112" t="s">
        <v>223</v>
      </c>
      <c r="D13" s="52">
        <f>D16</f>
        <v>1.2151000000000001</v>
      </c>
      <c r="E13" t="s">
        <v>224</v>
      </c>
    </row>
    <row r="14" spans="1:34" ht="17.5" x14ac:dyDescent="0.4">
      <c r="C14" s="112" t="s">
        <v>225</v>
      </c>
      <c r="D14" s="109">
        <f>D17+D18*D16</f>
        <v>0.11190600000000001</v>
      </c>
      <c r="E14">
        <f>D14</f>
        <v>0.11190600000000001</v>
      </c>
      <c r="F14" t="s">
        <v>226</v>
      </c>
    </row>
    <row r="15" spans="1:34" ht="17.5" x14ac:dyDescent="0.4">
      <c r="C15" s="112"/>
      <c r="D15" s="52"/>
    </row>
    <row r="16" spans="1:34" ht="17.5" x14ac:dyDescent="0.4">
      <c r="C16" s="112" t="s">
        <v>227</v>
      </c>
      <c r="D16" s="52">
        <v>1.2151000000000001</v>
      </c>
      <c r="E16" s="96" t="s">
        <v>228</v>
      </c>
    </row>
    <row r="17" spans="3:5" ht="18.5" x14ac:dyDescent="0.45">
      <c r="C17" s="112" t="s">
        <v>67</v>
      </c>
      <c r="D17" s="110">
        <v>3.9E-2</v>
      </c>
      <c r="E17" t="s">
        <v>229</v>
      </c>
    </row>
    <row r="18" spans="3:5" ht="18.5" x14ac:dyDescent="0.45">
      <c r="C18" s="112" t="s">
        <v>68</v>
      </c>
      <c r="D18" s="111">
        <v>0.06</v>
      </c>
      <c r="E18" t="s">
        <v>229</v>
      </c>
    </row>
  </sheetData>
  <mergeCells count="5">
    <mergeCell ref="L1:Q1"/>
    <mergeCell ref="S1:W1"/>
    <mergeCell ref="L8:O8"/>
    <mergeCell ref="P8:Q8"/>
    <mergeCell ref="S8:V8"/>
  </mergeCells>
  <hyperlinks>
    <hyperlink ref="E16" r:id="rId1" display="https://markets.ft.com/data/investment-trust/tearsheet/summary?s=III:LSE" xr:uid="{08F7715B-B6DD-4A63-B6B2-CAA40E69F0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937-9FC3-4D93-9DF5-447A3B239451}">
  <dimension ref="B2:Z21"/>
  <sheetViews>
    <sheetView zoomScale="41" workbookViewId="0">
      <selection activeCell="K96" sqref="K96"/>
    </sheetView>
  </sheetViews>
  <sheetFormatPr defaultColWidth="8.81640625" defaultRowHeight="14.5" x14ac:dyDescent="0.35"/>
  <cols>
    <col min="2" max="2" width="39" customWidth="1"/>
    <col min="3" max="3" width="15" customWidth="1"/>
    <col min="4" max="4" width="22.6328125" customWidth="1"/>
    <col min="5" max="5" width="19.26953125" customWidth="1"/>
    <col min="6" max="6" width="18.36328125" customWidth="1"/>
    <col min="7" max="7" width="19.08984375" customWidth="1"/>
    <col min="9" max="9" width="41.81640625" bestFit="1" customWidth="1"/>
    <col min="20" max="20" width="11.7265625" bestFit="1" customWidth="1"/>
  </cols>
  <sheetData>
    <row r="2" spans="2:26" x14ac:dyDescent="0.35">
      <c r="B2" s="1"/>
      <c r="C2" s="144">
        <v>2024</v>
      </c>
      <c r="D2" s="144">
        <v>2025</v>
      </c>
      <c r="E2" s="144">
        <v>2026</v>
      </c>
      <c r="F2" s="144">
        <v>2027</v>
      </c>
      <c r="G2" s="144">
        <v>2028</v>
      </c>
      <c r="Z2">
        <f>19006*1000</f>
        <v>19006000</v>
      </c>
    </row>
    <row r="3" spans="2:26" x14ac:dyDescent="0.35">
      <c r="B3" s="1"/>
      <c r="C3" s="136" t="s">
        <v>7</v>
      </c>
      <c r="D3" s="136"/>
      <c r="E3" s="136"/>
      <c r="F3" s="136"/>
      <c r="G3" s="136"/>
      <c r="P3">
        <f>C7</f>
        <v>24.078399999999998</v>
      </c>
      <c r="R3">
        <v>24.52</v>
      </c>
    </row>
    <row r="4" spans="2:26" x14ac:dyDescent="0.35">
      <c r="B4" s="145" t="s">
        <v>236</v>
      </c>
      <c r="C4" s="132">
        <v>4.04</v>
      </c>
      <c r="D4" s="132">
        <v>4.29</v>
      </c>
      <c r="E4" s="132">
        <v>4.24</v>
      </c>
      <c r="F4" s="132">
        <v>6.48</v>
      </c>
      <c r="G4" s="132">
        <v>6.48</v>
      </c>
      <c r="P4">
        <f>P3-R3</f>
        <v>-0.4416000000000011</v>
      </c>
      <c r="Q4" t="s">
        <v>230</v>
      </c>
    </row>
    <row r="5" spans="2:26" x14ac:dyDescent="0.35">
      <c r="B5" s="133"/>
      <c r="C5" s="136" t="s">
        <v>8</v>
      </c>
      <c r="D5" s="136"/>
      <c r="E5" s="136"/>
      <c r="F5" s="136"/>
      <c r="G5" s="136"/>
      <c r="S5" t="s">
        <v>231</v>
      </c>
    </row>
    <row r="6" spans="2:26" x14ac:dyDescent="0.35">
      <c r="B6" s="133" t="s">
        <v>236</v>
      </c>
      <c r="C6" s="137">
        <v>5.96</v>
      </c>
      <c r="D6" s="137">
        <v>5.97</v>
      </c>
      <c r="E6" s="137">
        <v>5.55</v>
      </c>
      <c r="F6" s="137">
        <v>3.78</v>
      </c>
      <c r="G6" s="137">
        <v>3.82</v>
      </c>
    </row>
    <row r="7" spans="2:26" x14ac:dyDescent="0.35">
      <c r="B7" s="134" t="s">
        <v>9</v>
      </c>
      <c r="C7" s="138">
        <f>C6*C4</f>
        <v>24.078399999999998</v>
      </c>
      <c r="D7" s="138">
        <f t="shared" ref="D7:G7" si="0">D6*D4</f>
        <v>25.6113</v>
      </c>
      <c r="E7" s="138">
        <f t="shared" si="0"/>
        <v>23.532</v>
      </c>
      <c r="F7" s="138">
        <f t="shared" si="0"/>
        <v>24.494399999999999</v>
      </c>
      <c r="G7" s="138">
        <f t="shared" si="0"/>
        <v>24.753600000000002</v>
      </c>
    </row>
    <row r="8" spans="2:26" x14ac:dyDescent="0.35">
      <c r="B8" s="134"/>
      <c r="C8" s="136" t="s">
        <v>10</v>
      </c>
      <c r="D8" s="136"/>
      <c r="E8" s="136"/>
      <c r="F8" s="136"/>
      <c r="G8" s="136"/>
    </row>
    <row r="9" spans="2:26" x14ac:dyDescent="0.35">
      <c r="B9" s="135" t="s">
        <v>237</v>
      </c>
      <c r="C9" s="139">
        <v>9.3000000000000007</v>
      </c>
      <c r="D9" s="137">
        <v>10.65</v>
      </c>
      <c r="E9" s="137">
        <v>10.119999999999999</v>
      </c>
      <c r="F9" s="137">
        <v>9.15</v>
      </c>
      <c r="G9" s="137">
        <v>9.15</v>
      </c>
      <c r="O9" t="s">
        <v>232</v>
      </c>
    </row>
    <row r="10" spans="2:26" x14ac:dyDescent="0.35">
      <c r="B10" s="131" t="s">
        <v>240</v>
      </c>
      <c r="C10" s="140">
        <v>9.8000000000000007</v>
      </c>
      <c r="D10" s="132">
        <v>8.3800000000000008</v>
      </c>
      <c r="E10" s="132">
        <v>7.08</v>
      </c>
      <c r="F10" s="132">
        <v>6.22</v>
      </c>
      <c r="G10" s="132">
        <v>6.22</v>
      </c>
      <c r="O10" t="s">
        <v>233</v>
      </c>
    </row>
    <row r="11" spans="2:26" x14ac:dyDescent="0.35">
      <c r="B11" s="131" t="s">
        <v>239</v>
      </c>
      <c r="C11" s="140">
        <v>9.1999999999999993</v>
      </c>
      <c r="D11" s="132">
        <v>11.24</v>
      </c>
      <c r="E11" s="132">
        <v>10.36</v>
      </c>
      <c r="F11" s="132">
        <v>9.35</v>
      </c>
      <c r="G11" s="132">
        <v>9.35</v>
      </c>
      <c r="O11" t="s">
        <v>234</v>
      </c>
    </row>
    <row r="12" spans="2:26" x14ac:dyDescent="0.35">
      <c r="B12" s="131" t="s">
        <v>238</v>
      </c>
      <c r="C12" s="140">
        <v>11.3</v>
      </c>
      <c r="D12" s="132">
        <v>11.1</v>
      </c>
      <c r="E12" s="132">
        <v>10.39</v>
      </c>
      <c r="F12" s="132">
        <v>11.67</v>
      </c>
      <c r="G12" s="132">
        <v>11.2</v>
      </c>
      <c r="O12" t="s">
        <v>235</v>
      </c>
    </row>
    <row r="13" spans="2:26" x14ac:dyDescent="0.35">
      <c r="B13" s="146" t="s">
        <v>241</v>
      </c>
      <c r="C13" s="132">
        <f>AVERAGE(C9:C12)</f>
        <v>9.9</v>
      </c>
      <c r="D13" s="132">
        <f t="shared" ref="D13:G13" si="1">AVERAGE(D9:D12)</f>
        <v>10.342500000000001</v>
      </c>
      <c r="E13" s="132">
        <f t="shared" si="1"/>
        <v>9.4875000000000007</v>
      </c>
      <c r="F13" s="132">
        <f t="shared" si="1"/>
        <v>9.0975000000000001</v>
      </c>
      <c r="G13" s="132">
        <f t="shared" si="1"/>
        <v>8.98</v>
      </c>
    </row>
    <row r="14" spans="2:26" x14ac:dyDescent="0.35">
      <c r="C14" s="48">
        <f>C13*C4</f>
        <v>39.996000000000002</v>
      </c>
      <c r="D14" s="48">
        <f>D13*D4</f>
        <v>44.369325000000003</v>
      </c>
      <c r="E14" s="48">
        <f>E13*E4</f>
        <v>40.227000000000004</v>
      </c>
      <c r="F14" s="48">
        <f>F13*F4</f>
        <v>58.951800000000006</v>
      </c>
      <c r="G14" s="48">
        <f>G13*G4</f>
        <v>58.190400000000004</v>
      </c>
    </row>
    <row r="15" spans="2:26" ht="19.5" x14ac:dyDescent="0.35">
      <c r="B15" s="97" t="s">
        <v>11</v>
      </c>
      <c r="E15" s="28">
        <f>C4*C6*100</f>
        <v>2407.8399999999997</v>
      </c>
    </row>
    <row r="17" spans="2:5" ht="19.5" x14ac:dyDescent="0.35">
      <c r="B17" s="97" t="s">
        <v>12</v>
      </c>
      <c r="E17" s="28">
        <f>C4*C13*100</f>
        <v>3999.6000000000004</v>
      </c>
    </row>
    <row r="19" spans="2:5" x14ac:dyDescent="0.35">
      <c r="B19" t="s">
        <v>13</v>
      </c>
    </row>
    <row r="20" spans="2:5" x14ac:dyDescent="0.35">
      <c r="B20" t="s">
        <v>14</v>
      </c>
    </row>
    <row r="21" spans="2:5" x14ac:dyDescent="0.35">
      <c r="B21" t="s">
        <v>15</v>
      </c>
    </row>
  </sheetData>
  <mergeCells count="3">
    <mergeCell ref="C3:G3"/>
    <mergeCell ref="C5:G5"/>
    <mergeCell ref="C8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8A5-C9E1-4904-8EC9-7F818CB54CCB}">
  <dimension ref="A2:I64"/>
  <sheetViews>
    <sheetView zoomScale="38" workbookViewId="0">
      <selection activeCell="D26" sqref="D26"/>
    </sheetView>
  </sheetViews>
  <sheetFormatPr defaultColWidth="9.08984375" defaultRowHeight="14.5" x14ac:dyDescent="0.35"/>
  <cols>
    <col min="1" max="1" width="35.81640625" style="5" bestFit="1" customWidth="1"/>
    <col min="2" max="2" width="15.08984375" style="5" customWidth="1"/>
    <col min="3" max="3" width="29.36328125" style="5" customWidth="1"/>
    <col min="4" max="4" width="17.6328125" style="5" customWidth="1"/>
    <col min="5" max="5" width="13.36328125" style="5" customWidth="1"/>
    <col min="6" max="6" width="34" style="5" bestFit="1" customWidth="1"/>
    <col min="7" max="7" width="12.08984375" style="5" bestFit="1" customWidth="1"/>
    <col min="8" max="16384" width="9.08984375" style="5"/>
  </cols>
  <sheetData>
    <row r="2" spans="1:9" x14ac:dyDescent="0.35">
      <c r="A2" s="152" t="s">
        <v>18</v>
      </c>
      <c r="B2" s="84" t="s">
        <v>18</v>
      </c>
    </row>
    <row r="3" spans="1:9" x14ac:dyDescent="0.35">
      <c r="A3" s="154" t="s">
        <v>19</v>
      </c>
      <c r="B3" s="147">
        <f>DATE(2024,1,31)</f>
        <v>45322</v>
      </c>
    </row>
    <row r="4" spans="1:9" x14ac:dyDescent="0.35">
      <c r="A4" s="155" t="s">
        <v>20</v>
      </c>
      <c r="B4" s="148">
        <f>DATE(2032,3,12)</f>
        <v>48285</v>
      </c>
    </row>
    <row r="5" spans="1:9" x14ac:dyDescent="0.35">
      <c r="A5" s="155" t="s">
        <v>21</v>
      </c>
      <c r="B5" s="149">
        <v>5.7500000000000002E-2</v>
      </c>
    </row>
    <row r="6" spans="1:9" x14ac:dyDescent="0.35">
      <c r="A6" s="155" t="s">
        <v>22</v>
      </c>
      <c r="B6" s="149">
        <v>5.0980839999999999E-2</v>
      </c>
    </row>
    <row r="7" spans="1:9" x14ac:dyDescent="0.35">
      <c r="A7" s="155" t="s">
        <v>23</v>
      </c>
      <c r="B7" s="149">
        <v>100</v>
      </c>
      <c r="C7" s="150"/>
    </row>
    <row r="8" spans="1:9" x14ac:dyDescent="0.35">
      <c r="A8" s="155" t="s">
        <v>24</v>
      </c>
      <c r="B8" s="149">
        <f>B7*1</f>
        <v>100</v>
      </c>
    </row>
    <row r="9" spans="1:9" x14ac:dyDescent="0.35">
      <c r="A9" s="155" t="s">
        <v>25</v>
      </c>
      <c r="B9" s="149">
        <v>2</v>
      </c>
    </row>
    <row r="10" spans="1:9" x14ac:dyDescent="0.35">
      <c r="A10" s="3"/>
      <c r="B10" s="4"/>
    </row>
    <row r="11" spans="1:9" x14ac:dyDescent="0.35">
      <c r="A11" s="153" t="s">
        <v>17</v>
      </c>
      <c r="B11" s="85">
        <f>PRICE(B3,B4,B5,B6,B8,B9,1)</f>
        <v>104.28119239256735</v>
      </c>
      <c r="C11" s="151"/>
    </row>
    <row r="13" spans="1:9" x14ac:dyDescent="0.35">
      <c r="D13" s="163"/>
      <c r="E13" s="163"/>
      <c r="F13" s="163"/>
      <c r="G13" s="178"/>
      <c r="H13" s="163"/>
      <c r="I13" s="163"/>
    </row>
    <row r="14" spans="1:9" x14ac:dyDescent="0.35">
      <c r="A14" s="152" t="s">
        <v>18</v>
      </c>
      <c r="B14" s="84" t="s">
        <v>18</v>
      </c>
      <c r="C14" s="158" t="s">
        <v>249</v>
      </c>
      <c r="D14" s="164"/>
      <c r="E14" s="171"/>
      <c r="F14" s="164"/>
      <c r="G14" s="171"/>
      <c r="H14" s="163"/>
      <c r="I14" s="163"/>
    </row>
    <row r="15" spans="1:9" x14ac:dyDescent="0.35">
      <c r="A15" s="154" t="s">
        <v>19</v>
      </c>
      <c r="B15" s="159">
        <f>DATE(2025,1,31)</f>
        <v>45688</v>
      </c>
      <c r="D15" s="83"/>
      <c r="E15" s="172"/>
      <c r="F15" s="83"/>
      <c r="G15" s="179"/>
      <c r="H15" s="163"/>
      <c r="I15" s="163"/>
    </row>
    <row r="16" spans="1:9" x14ac:dyDescent="0.35">
      <c r="A16" s="155" t="s">
        <v>20</v>
      </c>
      <c r="B16" s="160">
        <f>B4</f>
        <v>48285</v>
      </c>
      <c r="D16" s="83"/>
      <c r="E16" s="172"/>
      <c r="F16" s="83"/>
      <c r="G16" s="179"/>
      <c r="H16" s="163"/>
      <c r="I16" s="163"/>
    </row>
    <row r="17" spans="1:9" x14ac:dyDescent="0.35">
      <c r="A17" s="155" t="s">
        <v>21</v>
      </c>
      <c r="B17" s="161">
        <f>B5</f>
        <v>5.7500000000000002E-2</v>
      </c>
      <c r="D17" s="83"/>
      <c r="E17" s="173"/>
      <c r="F17" s="83"/>
      <c r="G17" s="180"/>
      <c r="H17" s="163"/>
      <c r="I17" s="163"/>
    </row>
    <row r="18" spans="1:9" x14ac:dyDescent="0.35">
      <c r="A18" s="155" t="s">
        <v>22</v>
      </c>
      <c r="B18" s="161">
        <f>B6+0.01</f>
        <v>6.0980840000000001E-2</v>
      </c>
      <c r="D18" s="83"/>
      <c r="E18" s="173"/>
      <c r="F18" s="83"/>
      <c r="G18" s="180"/>
      <c r="H18" s="163"/>
      <c r="I18" s="163"/>
    </row>
    <row r="19" spans="1:9" x14ac:dyDescent="0.35">
      <c r="A19" s="155" t="s">
        <v>23</v>
      </c>
      <c r="B19" s="161">
        <v>100</v>
      </c>
      <c r="D19" s="83"/>
      <c r="E19" s="173"/>
      <c r="F19" s="83"/>
      <c r="G19" s="180"/>
      <c r="H19" s="163"/>
      <c r="I19" s="163"/>
    </row>
    <row r="20" spans="1:9" x14ac:dyDescent="0.35">
      <c r="A20" s="155" t="s">
        <v>24</v>
      </c>
      <c r="B20" s="161">
        <f>B19*1</f>
        <v>100</v>
      </c>
      <c r="D20" s="83"/>
      <c r="E20" s="173"/>
      <c r="F20" s="83"/>
      <c r="G20" s="180"/>
      <c r="H20" s="163"/>
      <c r="I20" s="163"/>
    </row>
    <row r="21" spans="1:9" x14ac:dyDescent="0.35">
      <c r="A21" s="155" t="s">
        <v>25</v>
      </c>
      <c r="B21" s="161">
        <f>B9</f>
        <v>2</v>
      </c>
      <c r="D21" s="83"/>
      <c r="E21" s="173"/>
      <c r="F21" s="83"/>
      <c r="G21" s="180"/>
      <c r="H21" s="163"/>
      <c r="I21" s="163"/>
    </row>
    <row r="22" spans="1:9" x14ac:dyDescent="0.35">
      <c r="A22" s="3"/>
      <c r="B22" s="4"/>
      <c r="D22" s="83"/>
      <c r="E22" s="173"/>
      <c r="F22" s="83"/>
      <c r="G22" s="180"/>
      <c r="H22" s="163"/>
      <c r="I22" s="163"/>
    </row>
    <row r="23" spans="1:9" x14ac:dyDescent="0.35">
      <c r="A23" s="153" t="s">
        <v>17</v>
      </c>
      <c r="B23" s="85">
        <f>PRICE(B15,B16,B17,B18,B20,B21,1)</f>
        <v>98.008312069101265</v>
      </c>
      <c r="D23" s="168"/>
      <c r="E23" s="174"/>
      <c r="F23" s="168"/>
      <c r="G23" s="174"/>
      <c r="H23" s="163"/>
      <c r="I23" s="163"/>
    </row>
    <row r="24" spans="1:9" x14ac:dyDescent="0.35">
      <c r="A24" s="153" t="s">
        <v>252</v>
      </c>
      <c r="B24" s="156">
        <f>(((B17*B19)/2)*1/$B$11)+((B23-$B$11)/$B$11)</f>
        <v>-3.2583826915545192E-2</v>
      </c>
      <c r="D24" s="168"/>
      <c r="E24" s="175"/>
      <c r="F24" s="168"/>
      <c r="G24" s="181"/>
      <c r="H24" s="163"/>
      <c r="I24" s="163"/>
    </row>
    <row r="25" spans="1:9" x14ac:dyDescent="0.35">
      <c r="A25" s="6"/>
      <c r="D25" s="163"/>
      <c r="E25" s="176"/>
      <c r="F25" s="163"/>
      <c r="G25" s="163"/>
      <c r="H25" s="163"/>
      <c r="I25" s="163"/>
    </row>
    <row r="26" spans="1:9" x14ac:dyDescent="0.35">
      <c r="A26" s="6"/>
      <c r="D26" s="163"/>
      <c r="E26" s="176"/>
      <c r="F26" s="163"/>
      <c r="G26" s="163"/>
      <c r="H26" s="163"/>
      <c r="I26" s="163"/>
    </row>
    <row r="27" spans="1:9" x14ac:dyDescent="0.35">
      <c r="D27" s="163"/>
      <c r="E27" s="176"/>
      <c r="F27" s="163"/>
      <c r="G27" s="163"/>
      <c r="H27" s="163"/>
      <c r="I27" s="163"/>
    </row>
    <row r="28" spans="1:9" x14ac:dyDescent="0.35">
      <c r="A28" s="92" t="s">
        <v>18</v>
      </c>
      <c r="B28" s="84" t="s">
        <v>18</v>
      </c>
      <c r="C28" s="158" t="s">
        <v>250</v>
      </c>
      <c r="D28" s="164"/>
      <c r="E28" s="171"/>
      <c r="F28" s="163"/>
      <c r="G28" s="163"/>
      <c r="H28" s="163"/>
      <c r="I28" s="163"/>
    </row>
    <row r="29" spans="1:9" x14ac:dyDescent="0.35">
      <c r="A29" s="89" t="s">
        <v>19</v>
      </c>
      <c r="B29" s="162">
        <f>B15</f>
        <v>45688</v>
      </c>
      <c r="D29" s="83"/>
      <c r="E29" s="172"/>
      <c r="F29" s="163"/>
      <c r="G29" s="163"/>
      <c r="H29" s="163"/>
      <c r="I29" s="163"/>
    </row>
    <row r="30" spans="1:9" x14ac:dyDescent="0.35">
      <c r="A30" s="89" t="s">
        <v>20</v>
      </c>
      <c r="B30" s="162">
        <f>B4</f>
        <v>48285</v>
      </c>
      <c r="D30" s="83"/>
      <c r="E30" s="172"/>
      <c r="F30" s="163"/>
      <c r="G30" s="163"/>
      <c r="H30" s="163"/>
      <c r="I30" s="163"/>
    </row>
    <row r="31" spans="1:9" x14ac:dyDescent="0.35">
      <c r="A31" s="89" t="s">
        <v>21</v>
      </c>
      <c r="B31" s="92">
        <f>B5</f>
        <v>5.7500000000000002E-2</v>
      </c>
      <c r="D31" s="83"/>
      <c r="E31" s="173"/>
      <c r="F31" s="163"/>
      <c r="G31" s="163"/>
      <c r="H31" s="163"/>
      <c r="I31" s="163"/>
    </row>
    <row r="32" spans="1:9" x14ac:dyDescent="0.35">
      <c r="A32" s="89" t="s">
        <v>22</v>
      </c>
      <c r="B32" s="92">
        <f>B6+0.005</f>
        <v>5.5980839999999997E-2</v>
      </c>
      <c r="D32" s="83"/>
      <c r="E32" s="177"/>
      <c r="F32" s="163"/>
      <c r="G32" s="163"/>
      <c r="H32" s="163"/>
      <c r="I32" s="163"/>
    </row>
    <row r="33" spans="1:9" x14ac:dyDescent="0.35">
      <c r="A33" s="89" t="s">
        <v>23</v>
      </c>
      <c r="B33" s="92">
        <v>100</v>
      </c>
      <c r="D33" s="83"/>
      <c r="E33" s="173"/>
      <c r="F33" s="163"/>
      <c r="G33" s="163"/>
      <c r="H33" s="163"/>
      <c r="I33" s="163"/>
    </row>
    <row r="34" spans="1:9" x14ac:dyDescent="0.35">
      <c r="A34" s="89" t="s">
        <v>24</v>
      </c>
      <c r="B34" s="92">
        <f>B33*1</f>
        <v>100</v>
      </c>
      <c r="D34" s="83"/>
      <c r="E34" s="173"/>
      <c r="F34" s="163"/>
      <c r="G34" s="163"/>
      <c r="H34" s="163"/>
      <c r="I34" s="163"/>
    </row>
    <row r="35" spans="1:9" x14ac:dyDescent="0.35">
      <c r="A35" s="89" t="s">
        <v>25</v>
      </c>
      <c r="B35" s="92">
        <v>2</v>
      </c>
      <c r="D35" s="83"/>
      <c r="E35" s="173"/>
      <c r="F35" s="163"/>
      <c r="G35" s="163"/>
      <c r="H35" s="163"/>
      <c r="I35" s="163"/>
    </row>
    <row r="36" spans="1:9" x14ac:dyDescent="0.35">
      <c r="A36" s="3"/>
      <c r="B36" s="4"/>
      <c r="D36" s="83"/>
      <c r="E36" s="173"/>
      <c r="F36" s="163"/>
      <c r="G36" s="163"/>
      <c r="H36" s="163"/>
      <c r="I36" s="163"/>
    </row>
    <row r="37" spans="1:9" x14ac:dyDescent="0.35">
      <c r="A37" s="153" t="s">
        <v>17</v>
      </c>
      <c r="B37" s="85">
        <f>PRICE(B29,B30,B31,B32,B34,B35,1)</f>
        <v>100.87426515401791</v>
      </c>
      <c r="D37" s="168"/>
      <c r="E37" s="168"/>
      <c r="F37" s="163"/>
      <c r="G37" s="163"/>
      <c r="H37" s="163"/>
      <c r="I37" s="163"/>
    </row>
    <row r="38" spans="1:9" x14ac:dyDescent="0.35">
      <c r="A38" s="153" t="s">
        <v>248</v>
      </c>
      <c r="B38" s="156">
        <f>(((B31*B33)/2)*1/$B$11)+((B37-$B$11)/$B$11)</f>
        <v>-5.1008933283673875E-3</v>
      </c>
      <c r="D38" s="168"/>
      <c r="E38" s="169"/>
      <c r="F38" s="163"/>
      <c r="G38" s="163"/>
      <c r="H38" s="163"/>
      <c r="I38" s="163"/>
    </row>
    <row r="39" spans="1:9" x14ac:dyDescent="0.35">
      <c r="D39" s="163"/>
      <c r="E39" s="163"/>
      <c r="F39" s="163"/>
      <c r="G39" s="163"/>
      <c r="H39" s="163"/>
      <c r="I39" s="163"/>
    </row>
    <row r="40" spans="1:9" x14ac:dyDescent="0.35">
      <c r="A40" s="92" t="s">
        <v>18</v>
      </c>
      <c r="B40" s="84" t="s">
        <v>18</v>
      </c>
      <c r="C40" s="158" t="s">
        <v>247</v>
      </c>
      <c r="D40" s="163"/>
      <c r="E40" s="163"/>
      <c r="F40" s="163"/>
      <c r="G40" s="163"/>
      <c r="H40" s="163"/>
      <c r="I40" s="163"/>
    </row>
    <row r="41" spans="1:9" x14ac:dyDescent="0.35">
      <c r="A41" s="89" t="s">
        <v>19</v>
      </c>
      <c r="B41" s="162">
        <f>B29</f>
        <v>45688</v>
      </c>
      <c r="D41" s="163"/>
      <c r="E41" s="163"/>
      <c r="F41" s="163"/>
      <c r="G41" s="163"/>
      <c r="H41" s="163"/>
      <c r="I41" s="163"/>
    </row>
    <row r="42" spans="1:9" x14ac:dyDescent="0.35">
      <c r="A42" s="89" t="s">
        <v>20</v>
      </c>
      <c r="B42" s="162">
        <f>B30</f>
        <v>48285</v>
      </c>
      <c r="D42" s="163"/>
      <c r="E42" s="163"/>
      <c r="F42" s="163"/>
      <c r="G42" s="163"/>
      <c r="H42" s="163"/>
      <c r="I42" s="163"/>
    </row>
    <row r="43" spans="1:9" x14ac:dyDescent="0.35">
      <c r="A43" s="89" t="s">
        <v>21</v>
      </c>
      <c r="B43" s="92">
        <f>B5</f>
        <v>5.7500000000000002E-2</v>
      </c>
      <c r="D43" s="163"/>
      <c r="E43" s="163"/>
      <c r="F43" s="163"/>
      <c r="G43" s="163"/>
      <c r="H43" s="163"/>
      <c r="I43" s="163"/>
    </row>
    <row r="44" spans="1:9" x14ac:dyDescent="0.35">
      <c r="A44" s="89" t="s">
        <v>22</v>
      </c>
      <c r="B44" s="92">
        <f>B6</f>
        <v>5.0980839999999999E-2</v>
      </c>
      <c r="D44" s="163"/>
      <c r="E44" s="163"/>
      <c r="F44" s="163"/>
      <c r="G44" s="163"/>
      <c r="H44" s="163"/>
      <c r="I44" s="163"/>
    </row>
    <row r="45" spans="1:9" x14ac:dyDescent="0.35">
      <c r="A45" s="89" t="s">
        <v>23</v>
      </c>
      <c r="B45" s="92">
        <v>100</v>
      </c>
      <c r="D45" s="163"/>
      <c r="E45" s="163"/>
      <c r="F45" s="163"/>
      <c r="G45" s="163"/>
      <c r="H45" s="163"/>
      <c r="I45" s="163"/>
    </row>
    <row r="46" spans="1:9" x14ac:dyDescent="0.35">
      <c r="A46" s="89" t="s">
        <v>24</v>
      </c>
      <c r="B46" s="92">
        <f>B45*1</f>
        <v>100</v>
      </c>
      <c r="D46" s="163"/>
      <c r="E46" s="163"/>
      <c r="F46" s="163"/>
      <c r="G46" s="163"/>
      <c r="H46" s="163"/>
      <c r="I46" s="163"/>
    </row>
    <row r="47" spans="1:9" x14ac:dyDescent="0.35">
      <c r="A47" s="89" t="s">
        <v>25</v>
      </c>
      <c r="B47" s="92">
        <v>2</v>
      </c>
      <c r="D47" s="163"/>
      <c r="E47" s="163"/>
      <c r="F47" s="163"/>
      <c r="G47" s="163"/>
      <c r="H47" s="163"/>
      <c r="I47" s="163"/>
    </row>
    <row r="48" spans="1:9" x14ac:dyDescent="0.35">
      <c r="A48" s="3"/>
      <c r="B48" s="4"/>
      <c r="D48" s="163"/>
      <c r="E48" s="163"/>
      <c r="F48" s="163"/>
      <c r="G48" s="163"/>
      <c r="H48" s="163"/>
      <c r="I48" s="163"/>
    </row>
    <row r="49" spans="1:9" x14ac:dyDescent="0.35">
      <c r="A49" s="153" t="s">
        <v>17</v>
      </c>
      <c r="B49" s="85">
        <f>PRICE(B41,B42,B43,B44,B46,B47,1)</f>
        <v>103.8414575458655</v>
      </c>
      <c r="D49" s="163"/>
      <c r="E49" s="163"/>
      <c r="F49" s="163"/>
      <c r="G49" s="163"/>
      <c r="H49" s="163"/>
      <c r="I49" s="163"/>
    </row>
    <row r="50" spans="1:9" x14ac:dyDescent="0.35">
      <c r="A50" s="153" t="s">
        <v>248</v>
      </c>
      <c r="B50" s="157">
        <f>(((B43*B45)/2)*1/$B$11)+((B49-$B$11)/$B$11)</f>
        <v>2.3352870229279434E-2</v>
      </c>
      <c r="D50" s="163"/>
      <c r="E50" s="163"/>
      <c r="F50" s="163"/>
      <c r="G50" s="163"/>
      <c r="H50" s="163"/>
      <c r="I50" s="163"/>
    </row>
    <row r="51" spans="1:9" x14ac:dyDescent="0.35">
      <c r="D51" s="163"/>
      <c r="E51" s="163"/>
      <c r="F51" s="163"/>
      <c r="G51" s="163"/>
      <c r="H51" s="163"/>
      <c r="I51" s="163"/>
    </row>
    <row r="52" spans="1:9" x14ac:dyDescent="0.35">
      <c r="D52" s="163"/>
      <c r="E52" s="163"/>
      <c r="F52" s="163"/>
      <c r="G52" s="163"/>
      <c r="H52" s="163"/>
      <c r="I52" s="163"/>
    </row>
    <row r="53" spans="1:9" x14ac:dyDescent="0.35">
      <c r="A53" s="92" t="s">
        <v>18</v>
      </c>
      <c r="B53" s="84" t="s">
        <v>18</v>
      </c>
      <c r="C53" s="158" t="s">
        <v>251</v>
      </c>
      <c r="D53" s="164"/>
      <c r="E53" s="165"/>
      <c r="F53" s="163"/>
      <c r="G53" s="163"/>
      <c r="H53" s="163"/>
      <c r="I53" s="163"/>
    </row>
    <row r="54" spans="1:9" x14ac:dyDescent="0.35">
      <c r="A54" s="89" t="s">
        <v>19</v>
      </c>
      <c r="B54" s="162">
        <f>B41</f>
        <v>45688</v>
      </c>
      <c r="D54" s="83"/>
      <c r="E54" s="166"/>
      <c r="F54" s="163"/>
      <c r="G54" s="163"/>
      <c r="H54" s="163"/>
      <c r="I54" s="163"/>
    </row>
    <row r="55" spans="1:9" x14ac:dyDescent="0.35">
      <c r="A55" s="89" t="s">
        <v>20</v>
      </c>
      <c r="B55" s="162">
        <f>B42</f>
        <v>48285</v>
      </c>
      <c r="D55" s="83"/>
      <c r="E55" s="166"/>
      <c r="F55" s="163"/>
      <c r="G55" s="163"/>
      <c r="H55" s="163"/>
      <c r="I55" s="163"/>
    </row>
    <row r="56" spans="1:9" x14ac:dyDescent="0.35">
      <c r="A56" s="89" t="s">
        <v>21</v>
      </c>
      <c r="B56" s="92">
        <f>B5</f>
        <v>5.7500000000000002E-2</v>
      </c>
      <c r="D56" s="83"/>
      <c r="E56" s="167"/>
      <c r="F56" s="163"/>
      <c r="G56" s="163"/>
      <c r="H56" s="163"/>
      <c r="I56" s="163"/>
    </row>
    <row r="57" spans="1:9" x14ac:dyDescent="0.35">
      <c r="A57" s="89" t="s">
        <v>22</v>
      </c>
      <c r="B57" s="92">
        <f>B6-0.003</f>
        <v>4.7980839999999997E-2</v>
      </c>
      <c r="D57" s="83"/>
      <c r="E57" s="170"/>
      <c r="F57" s="163"/>
      <c r="G57" s="163"/>
      <c r="H57" s="163"/>
      <c r="I57" s="163"/>
    </row>
    <row r="58" spans="1:9" x14ac:dyDescent="0.35">
      <c r="A58" s="89" t="s">
        <v>23</v>
      </c>
      <c r="B58" s="92">
        <v>100</v>
      </c>
      <c r="D58" s="83"/>
      <c r="E58" s="167"/>
      <c r="F58" s="163"/>
      <c r="G58" s="163"/>
      <c r="H58" s="163"/>
      <c r="I58" s="163"/>
    </row>
    <row r="59" spans="1:9" x14ac:dyDescent="0.35">
      <c r="A59" s="89" t="s">
        <v>24</v>
      </c>
      <c r="B59" s="92">
        <f>B58*1</f>
        <v>100</v>
      </c>
      <c r="D59" s="83"/>
      <c r="E59" s="167"/>
      <c r="F59" s="163"/>
      <c r="G59" s="163"/>
      <c r="H59" s="163"/>
      <c r="I59" s="163"/>
    </row>
    <row r="60" spans="1:9" x14ac:dyDescent="0.35">
      <c r="A60" s="89" t="s">
        <v>25</v>
      </c>
      <c r="B60" s="92">
        <v>2</v>
      </c>
      <c r="D60" s="83"/>
      <c r="E60" s="167"/>
      <c r="F60" s="163"/>
      <c r="G60" s="163"/>
      <c r="H60" s="163"/>
      <c r="I60" s="163"/>
    </row>
    <row r="61" spans="1:9" x14ac:dyDescent="0.35">
      <c r="A61" s="91"/>
      <c r="B61" s="91"/>
      <c r="D61" s="83"/>
      <c r="E61" s="83"/>
      <c r="F61" s="163"/>
      <c r="G61" s="163"/>
      <c r="H61" s="163"/>
      <c r="I61" s="163"/>
    </row>
    <row r="62" spans="1:9" x14ac:dyDescent="0.35">
      <c r="A62" s="90" t="s">
        <v>17</v>
      </c>
      <c r="B62" s="90">
        <f>PRICE(B54,B55,B56,B57,B59,B60,1)</f>
        <v>105.67200289757847</v>
      </c>
      <c r="D62" s="168"/>
      <c r="E62" s="168"/>
      <c r="F62" s="163"/>
      <c r="G62" s="163"/>
      <c r="H62" s="163"/>
      <c r="I62" s="163"/>
    </row>
    <row r="63" spans="1:9" x14ac:dyDescent="0.35">
      <c r="A63" s="90" t="s">
        <v>248</v>
      </c>
      <c r="B63" s="157">
        <f>(((B56*B58)/2)*1/$B$11)+((B62-$B$11)/$B$11)</f>
        <v>4.0906805984270309E-2</v>
      </c>
      <c r="D63" s="168"/>
      <c r="E63" s="169"/>
      <c r="F63" s="163"/>
      <c r="G63" s="163"/>
      <c r="H63" s="163"/>
      <c r="I63" s="163"/>
    </row>
    <row r="64" spans="1:9" x14ac:dyDescent="0.35">
      <c r="D64" s="163"/>
      <c r="E64" s="163"/>
      <c r="F64" s="163"/>
      <c r="G64" s="163"/>
      <c r="H64" s="163"/>
      <c r="I64" s="16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636A-E89A-4F62-9FB9-CE0D6360C717}">
  <dimension ref="A1:C16"/>
  <sheetViews>
    <sheetView zoomScale="63" workbookViewId="0">
      <selection activeCell="C25" sqref="C25"/>
    </sheetView>
  </sheetViews>
  <sheetFormatPr defaultColWidth="9.08984375" defaultRowHeight="13.5" x14ac:dyDescent="0.3"/>
  <cols>
    <col min="1" max="1" width="27.26953125" style="7" bestFit="1" customWidth="1"/>
    <col min="2" max="2" width="22" style="7" bestFit="1" customWidth="1"/>
    <col min="3" max="3" width="30.6328125" style="7" bestFit="1" customWidth="1"/>
    <col min="4" max="16384" width="9.08984375" style="7"/>
  </cols>
  <sheetData>
    <row r="1" spans="1:3" x14ac:dyDescent="0.3">
      <c r="A1" s="182"/>
      <c r="B1" s="183" t="s">
        <v>18</v>
      </c>
      <c r="C1" s="184" t="s">
        <v>26</v>
      </c>
    </row>
    <row r="2" spans="1:3" x14ac:dyDescent="0.3">
      <c r="A2" s="185" t="s">
        <v>19</v>
      </c>
      <c r="B2" s="86">
        <f>DATE(2024,1,31)</f>
        <v>45322</v>
      </c>
      <c r="C2" s="187" t="s">
        <v>27</v>
      </c>
    </row>
    <row r="3" spans="1:3" x14ac:dyDescent="0.3">
      <c r="A3" s="186" t="s">
        <v>20</v>
      </c>
      <c r="B3" s="87">
        <f>'[2]Excel Function'!B4</f>
        <v>48285</v>
      </c>
      <c r="C3" s="188" t="s">
        <v>27</v>
      </c>
    </row>
    <row r="4" spans="1:3" x14ac:dyDescent="0.3">
      <c r="A4" s="186" t="s">
        <v>28</v>
      </c>
      <c r="B4" s="88">
        <f>'[2]Excel Function'!B5</f>
        <v>5.7500000000000002E-2</v>
      </c>
      <c r="C4" s="189"/>
    </row>
    <row r="5" spans="1:3" x14ac:dyDescent="0.3">
      <c r="A5" s="186" t="s">
        <v>22</v>
      </c>
      <c r="B5" s="88">
        <f>'[2]Excel Function'!B6</f>
        <v>5.0980839999999999E-2</v>
      </c>
      <c r="C5" s="190"/>
    </row>
    <row r="6" spans="1:3" ht="14.5" customHeight="1" x14ac:dyDescent="0.3">
      <c r="A6" s="186" t="s">
        <v>29</v>
      </c>
      <c r="B6" s="197">
        <f>'[2]Excel Function'!B9</f>
        <v>2</v>
      </c>
      <c r="C6" s="189"/>
    </row>
    <row r="7" spans="1:3" x14ac:dyDescent="0.3">
      <c r="A7" s="186"/>
      <c r="B7" s="198"/>
      <c r="C7" s="191"/>
    </row>
    <row r="8" spans="1:3" x14ac:dyDescent="0.3">
      <c r="A8" s="199" t="s">
        <v>244</v>
      </c>
      <c r="B8" s="200">
        <f>DURATION(B2,B3,B4,B5,B6,1)</f>
        <v>6.4957997510975716</v>
      </c>
      <c r="C8" s="201" t="s">
        <v>30</v>
      </c>
    </row>
    <row r="12" spans="1:3" x14ac:dyDescent="0.3">
      <c r="A12" s="192" t="s">
        <v>245</v>
      </c>
      <c r="B12" s="192" t="s">
        <v>246</v>
      </c>
    </row>
    <row r="13" spans="1:3" x14ac:dyDescent="0.3">
      <c r="A13" s="193">
        <v>0.01</v>
      </c>
      <c r="B13" s="194">
        <f>A13*B8</f>
        <v>6.4957997510975723E-2</v>
      </c>
    </row>
    <row r="14" spans="1:3" x14ac:dyDescent="0.3">
      <c r="A14" s="195">
        <v>5.0000000000000001E-3</v>
      </c>
      <c r="B14" s="194">
        <f>A14*B8</f>
        <v>3.2478998755487862E-2</v>
      </c>
    </row>
    <row r="15" spans="1:3" x14ac:dyDescent="0.3">
      <c r="A15" s="196" t="s">
        <v>247</v>
      </c>
      <c r="B15" s="194">
        <v>0</v>
      </c>
    </row>
    <row r="16" spans="1:3" x14ac:dyDescent="0.3">
      <c r="A16" s="195">
        <v>3.0000000000000001E-3</v>
      </c>
      <c r="B16" s="194">
        <f>A16*B8</f>
        <v>1.9487399253292716E-2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4CFF-4923-4001-B1CB-F9C114BA7EAF}">
  <dimension ref="A1:R71"/>
  <sheetViews>
    <sheetView zoomScale="51" workbookViewId="0">
      <selection activeCell="G50" sqref="G50"/>
    </sheetView>
  </sheetViews>
  <sheetFormatPr defaultRowHeight="14.5" x14ac:dyDescent="0.35"/>
  <cols>
    <col min="1" max="1" width="40.36328125" bestFit="1" customWidth="1"/>
    <col min="2" max="8" width="14.36328125" customWidth="1"/>
    <col min="9" max="9" width="19.81640625" customWidth="1"/>
    <col min="10" max="20" width="14.36328125" customWidth="1"/>
  </cols>
  <sheetData>
    <row r="1" spans="1:18" x14ac:dyDescent="0.35">
      <c r="A1" s="72" t="s">
        <v>31</v>
      </c>
      <c r="B1" s="73"/>
      <c r="C1" s="73"/>
      <c r="D1" s="73"/>
      <c r="E1" s="74"/>
      <c r="H1" s="33" t="s">
        <v>32</v>
      </c>
      <c r="I1" s="34"/>
      <c r="L1" s="35" t="s">
        <v>33</v>
      </c>
      <c r="M1" s="35" t="s">
        <v>34</v>
      </c>
      <c r="N1" s="35" t="s">
        <v>35</v>
      </c>
      <c r="O1" s="2"/>
      <c r="P1" s="26" t="s">
        <v>36</v>
      </c>
      <c r="Q1" s="27"/>
      <c r="R1" s="27"/>
    </row>
    <row r="2" spans="1:18" x14ac:dyDescent="0.35">
      <c r="A2" s="75" t="s">
        <v>18</v>
      </c>
      <c r="B2" s="76"/>
      <c r="C2" s="77"/>
      <c r="D2" s="78" t="s">
        <v>26</v>
      </c>
      <c r="E2" s="79"/>
      <c r="H2" s="65" t="s">
        <v>37</v>
      </c>
      <c r="I2" s="67">
        <v>45231</v>
      </c>
      <c r="L2" s="80" t="s">
        <v>69</v>
      </c>
      <c r="M2" s="80">
        <v>1988</v>
      </c>
      <c r="N2" s="80">
        <f t="shared" ref="N2:N65" si="0">(M2-M3)/M3</f>
        <v>2.7655724993538383E-2</v>
      </c>
      <c r="P2" s="28"/>
      <c r="Q2" s="28"/>
      <c r="R2" s="28"/>
    </row>
    <row r="3" spans="1:18" x14ac:dyDescent="0.35">
      <c r="A3" s="57" t="s">
        <v>38</v>
      </c>
      <c r="B3" s="53">
        <f>R5</f>
        <v>0.19274103486090124</v>
      </c>
      <c r="C3" s="58"/>
      <c r="D3" s="58" t="s">
        <v>39</v>
      </c>
      <c r="E3" s="64">
        <f>(LN(B6/B7)+(B5+0.5*B3^2)*B4)/(B3*SQRT(B4))</f>
        <v>-0.83964000242932124</v>
      </c>
      <c r="H3" s="65" t="s">
        <v>40</v>
      </c>
      <c r="I3" s="68">
        <f>M2</f>
        <v>1988</v>
      </c>
      <c r="L3" s="80" t="s">
        <v>70</v>
      </c>
      <c r="M3" s="80">
        <v>1934.5</v>
      </c>
      <c r="N3" s="80">
        <f t="shared" si="0"/>
        <v>-4.3746783324755531E-3</v>
      </c>
      <c r="P3" s="29" t="s">
        <v>41</v>
      </c>
      <c r="Q3" s="29"/>
      <c r="R3" s="30">
        <f>STDEV(N3:N67)</f>
        <v>1.2141543944742272E-2</v>
      </c>
    </row>
    <row r="4" spans="1:18" x14ac:dyDescent="0.35">
      <c r="A4" s="57" t="s">
        <v>42</v>
      </c>
      <c r="B4" s="59">
        <f>63/252</f>
        <v>0.25</v>
      </c>
      <c r="C4" s="58"/>
      <c r="D4" s="58" t="s">
        <v>43</v>
      </c>
      <c r="E4" s="64">
        <f>E3-B3*SQRT(B4)</f>
        <v>-0.93601051985977191</v>
      </c>
      <c r="H4" s="65" t="s">
        <v>44</v>
      </c>
      <c r="I4" s="69">
        <f>I3*(1+0.1)</f>
        <v>2186.8000000000002</v>
      </c>
      <c r="L4" s="80" t="s">
        <v>71</v>
      </c>
      <c r="M4" s="80">
        <v>1943</v>
      </c>
      <c r="N4" s="80">
        <f t="shared" si="0"/>
        <v>-1.2954025908051815E-2</v>
      </c>
      <c r="P4" s="28"/>
      <c r="Q4" s="28"/>
      <c r="R4" s="28"/>
    </row>
    <row r="5" spans="1:18" x14ac:dyDescent="0.35">
      <c r="A5" s="57" t="s">
        <v>45</v>
      </c>
      <c r="B5" s="60">
        <f>I7</f>
        <v>3.9E-2</v>
      </c>
      <c r="C5" s="58"/>
      <c r="D5" s="58" t="s">
        <v>46</v>
      </c>
      <c r="E5" s="64">
        <f>NORMSDIST(E3)</f>
        <v>0.20055513161013297</v>
      </c>
      <c r="H5" s="65" t="s">
        <v>20</v>
      </c>
      <c r="I5" s="67">
        <v>45322</v>
      </c>
      <c r="L5" s="80" t="s">
        <v>72</v>
      </c>
      <c r="M5" s="80">
        <v>1968.5</v>
      </c>
      <c r="N5" s="80">
        <f t="shared" si="0"/>
        <v>-4.8028311425682511E-3</v>
      </c>
      <c r="P5" s="31" t="s">
        <v>47</v>
      </c>
      <c r="Q5" s="31"/>
      <c r="R5" s="32">
        <f>R3*SQRT(252)</f>
        <v>0.19274103486090124</v>
      </c>
    </row>
    <row r="6" spans="1:18" x14ac:dyDescent="0.35">
      <c r="A6" s="57" t="s">
        <v>48</v>
      </c>
      <c r="B6" s="60">
        <f>I3</f>
        <v>1988</v>
      </c>
      <c r="C6" s="58"/>
      <c r="D6" s="58" t="s">
        <v>49</v>
      </c>
      <c r="E6" s="64">
        <f>NORMSDIST(E4)</f>
        <v>0.17463388568579249</v>
      </c>
      <c r="H6" s="65" t="s">
        <v>50</v>
      </c>
      <c r="I6" s="10">
        <v>2497</v>
      </c>
      <c r="J6" s="9">
        <v>45322</v>
      </c>
      <c r="L6" s="80" t="s">
        <v>73</v>
      </c>
      <c r="M6" s="80">
        <v>1978</v>
      </c>
      <c r="N6" s="80">
        <f t="shared" si="0"/>
        <v>-9.0180360721442889E-3</v>
      </c>
      <c r="P6" s="31"/>
      <c r="Q6" s="31"/>
      <c r="R6" s="32"/>
    </row>
    <row r="7" spans="1:18" x14ac:dyDescent="0.35">
      <c r="A7" s="57" t="s">
        <v>51</v>
      </c>
      <c r="B7" s="61">
        <f>I4</f>
        <v>2186.8000000000002</v>
      </c>
      <c r="C7" s="58"/>
      <c r="D7" s="23" t="s">
        <v>52</v>
      </c>
      <c r="E7" s="22">
        <f>B6*E5-B7*EXP(-B5*B4)*E6</f>
        <v>20.519549059918234</v>
      </c>
      <c r="H7" s="65" t="s">
        <v>53</v>
      </c>
      <c r="I7" s="70">
        <v>3.9E-2</v>
      </c>
      <c r="J7" t="s">
        <v>204</v>
      </c>
      <c r="L7" s="80" t="s">
        <v>74</v>
      </c>
      <c r="M7" s="80">
        <v>1996</v>
      </c>
      <c r="N7" s="80">
        <f t="shared" si="0"/>
        <v>2.2596033140848608E-3</v>
      </c>
      <c r="P7" s="28"/>
      <c r="Q7" s="28"/>
      <c r="R7" s="28"/>
    </row>
    <row r="8" spans="1:18" ht="15" thickBot="1" x14ac:dyDescent="0.4">
      <c r="A8" s="62"/>
      <c r="B8" s="63"/>
      <c r="C8" s="63"/>
      <c r="D8" s="24" t="s">
        <v>54</v>
      </c>
      <c r="E8" s="25">
        <f>B7*EXP(-B5*B4)*(1-E6)-B6*(1-E5)</f>
        <v>198.10185340987846</v>
      </c>
      <c r="H8" s="66" t="s">
        <v>55</v>
      </c>
      <c r="I8" s="71">
        <f>R5</f>
        <v>0.19274103486090124</v>
      </c>
      <c r="L8" s="80" t="s">
        <v>75</v>
      </c>
      <c r="M8" s="80">
        <v>1991.5</v>
      </c>
      <c r="N8" s="80">
        <f t="shared" si="0"/>
        <v>-1.8482010842779693E-2</v>
      </c>
      <c r="Q8" t="s">
        <v>136</v>
      </c>
    </row>
    <row r="9" spans="1:18" x14ac:dyDescent="0.35">
      <c r="L9" s="80" t="s">
        <v>76</v>
      </c>
      <c r="M9" s="80">
        <v>2029</v>
      </c>
      <c r="N9" s="80">
        <f t="shared" si="0"/>
        <v>1.1970074812967581E-2</v>
      </c>
    </row>
    <row r="10" spans="1:18" x14ac:dyDescent="0.35">
      <c r="A10" s="8" t="s">
        <v>56</v>
      </c>
      <c r="B10">
        <f>E7+B7*EXP(-B5*B4)-B6</f>
        <v>198.10185340987846</v>
      </c>
      <c r="L10" s="80" t="s">
        <v>77</v>
      </c>
      <c r="M10" s="80">
        <v>2005</v>
      </c>
      <c r="N10" s="80">
        <f t="shared" si="0"/>
        <v>-1.2801575578532743E-2</v>
      </c>
    </row>
    <row r="11" spans="1:18" x14ac:dyDescent="0.35">
      <c r="L11" s="80" t="s">
        <v>78</v>
      </c>
      <c r="M11" s="80">
        <v>2031</v>
      </c>
      <c r="N11" s="80">
        <f t="shared" si="0"/>
        <v>-1.071602532878714E-2</v>
      </c>
    </row>
    <row r="12" spans="1:18" x14ac:dyDescent="0.35">
      <c r="A12" s="11" t="s">
        <v>57</v>
      </c>
      <c r="D12" s="36" t="s">
        <v>58</v>
      </c>
      <c r="E12" s="36" t="s">
        <v>59</v>
      </c>
      <c r="F12" s="36" t="s">
        <v>60</v>
      </c>
      <c r="G12" s="37" t="s">
        <v>61</v>
      </c>
      <c r="H12" s="36" t="s">
        <v>62</v>
      </c>
      <c r="I12" s="37" t="s">
        <v>63</v>
      </c>
      <c r="J12" s="38" t="s">
        <v>135</v>
      </c>
      <c r="L12" s="80" t="s">
        <v>79</v>
      </c>
      <c r="M12" s="80">
        <v>2053</v>
      </c>
      <c r="N12" s="80">
        <f t="shared" si="0"/>
        <v>-1.9111323459149548E-2</v>
      </c>
    </row>
    <row r="13" spans="1:18" x14ac:dyDescent="0.35">
      <c r="A13" t="s">
        <v>64</v>
      </c>
      <c r="D13" s="39">
        <f t="shared" ref="D13:D17" si="1">D14-350</f>
        <v>86.800000000000182</v>
      </c>
      <c r="E13" s="40">
        <f>-$E$7</f>
        <v>-20.519549059918234</v>
      </c>
      <c r="F13" s="41">
        <f>E13</f>
        <v>-20.519549059918234</v>
      </c>
      <c r="G13" s="42">
        <f>-$E$8</f>
        <v>-198.10185340987846</v>
      </c>
      <c r="H13" s="43">
        <f t="shared" ref="H13:H19" si="2">$D$19-D13+G13</f>
        <v>1901.8981465901215</v>
      </c>
      <c r="I13" s="44">
        <f>+F13+H13</f>
        <v>1881.3785975302033</v>
      </c>
      <c r="J13" s="45">
        <f>I13*10</f>
        <v>18813.785975302031</v>
      </c>
      <c r="L13" s="80" t="s">
        <v>80</v>
      </c>
      <c r="M13" s="80">
        <v>2093</v>
      </c>
      <c r="N13" s="80">
        <f t="shared" si="0"/>
        <v>9.6478533526290402E-3</v>
      </c>
    </row>
    <row r="14" spans="1:18" x14ac:dyDescent="0.35">
      <c r="D14" s="39">
        <f t="shared" si="1"/>
        <v>436.80000000000018</v>
      </c>
      <c r="E14" s="40">
        <f t="shared" ref="E14:E25" si="3">-$E$7</f>
        <v>-20.519549059918234</v>
      </c>
      <c r="F14" s="41">
        <f t="shared" ref="F14:F19" si="4">E14</f>
        <v>-20.519549059918234</v>
      </c>
      <c r="G14" s="42">
        <f t="shared" ref="G14:G25" si="5">-$E$8</f>
        <v>-198.10185340987846</v>
      </c>
      <c r="H14" s="43">
        <f t="shared" si="2"/>
        <v>1551.8981465901215</v>
      </c>
      <c r="I14" s="44">
        <f>+F14+H14</f>
        <v>1531.3785975302033</v>
      </c>
      <c r="J14" s="45">
        <f>I14*$J$29</f>
        <v>15313.785975302033</v>
      </c>
      <c r="L14" s="80" t="s">
        <v>81</v>
      </c>
      <c r="M14" s="80">
        <v>2073</v>
      </c>
      <c r="N14" s="80">
        <f t="shared" si="0"/>
        <v>1.4492753623188406E-3</v>
      </c>
    </row>
    <row r="15" spans="1:18" x14ac:dyDescent="0.35">
      <c r="B15">
        <v>10</v>
      </c>
      <c r="D15" s="39">
        <f t="shared" si="1"/>
        <v>786.80000000000018</v>
      </c>
      <c r="E15" s="40">
        <f t="shared" si="3"/>
        <v>-20.519549059918234</v>
      </c>
      <c r="F15" s="41">
        <f t="shared" si="4"/>
        <v>-20.519549059918234</v>
      </c>
      <c r="G15" s="42">
        <f t="shared" si="5"/>
        <v>-198.10185340987846</v>
      </c>
      <c r="H15" s="43">
        <f t="shared" si="2"/>
        <v>1201.8981465901215</v>
      </c>
      <c r="I15" s="44">
        <f t="shared" ref="I15:I25" si="6">+F15+H15</f>
        <v>1181.3785975302033</v>
      </c>
      <c r="J15" s="45">
        <f>I15*$J$29</f>
        <v>11813.785975302033</v>
      </c>
      <c r="L15" s="80" t="s">
        <v>82</v>
      </c>
      <c r="M15" s="80">
        <v>2070</v>
      </c>
      <c r="N15" s="80">
        <f t="shared" si="0"/>
        <v>-9.6525096525096527E-4</v>
      </c>
    </row>
    <row r="16" spans="1:18" x14ac:dyDescent="0.35">
      <c r="D16" s="39">
        <f t="shared" si="1"/>
        <v>1136.8000000000002</v>
      </c>
      <c r="E16" s="40">
        <f t="shared" si="3"/>
        <v>-20.519549059918234</v>
      </c>
      <c r="F16" s="41">
        <f t="shared" si="4"/>
        <v>-20.519549059918234</v>
      </c>
      <c r="G16" s="42">
        <f t="shared" si="5"/>
        <v>-198.10185340987846</v>
      </c>
      <c r="H16" s="43">
        <f t="shared" si="2"/>
        <v>851.89814659012154</v>
      </c>
      <c r="I16" s="44">
        <f t="shared" si="6"/>
        <v>831.37859753020325</v>
      </c>
      <c r="J16" s="45">
        <f>I16*$J$29</f>
        <v>8313.785975302033</v>
      </c>
      <c r="L16" s="80" t="s">
        <v>83</v>
      </c>
      <c r="M16" s="80">
        <v>2072</v>
      </c>
      <c r="N16" s="80">
        <f t="shared" si="0"/>
        <v>7.2921730675741371E-3</v>
      </c>
    </row>
    <row r="17" spans="1:14" x14ac:dyDescent="0.35">
      <c r="D17" s="39">
        <f t="shared" si="1"/>
        <v>1486.8000000000002</v>
      </c>
      <c r="E17" s="40">
        <f t="shared" si="3"/>
        <v>-20.519549059918234</v>
      </c>
      <c r="F17" s="41">
        <f t="shared" si="4"/>
        <v>-20.519549059918234</v>
      </c>
      <c r="G17" s="42">
        <f t="shared" si="5"/>
        <v>-198.10185340987846</v>
      </c>
      <c r="H17" s="43">
        <f t="shared" si="2"/>
        <v>501.89814659012154</v>
      </c>
      <c r="I17" s="44">
        <f t="shared" si="6"/>
        <v>481.37859753020331</v>
      </c>
      <c r="J17" s="45">
        <f t="shared" ref="J17:J25" si="7">I17*$J$29</f>
        <v>4813.785975302033</v>
      </c>
      <c r="L17" s="80" t="s">
        <v>84</v>
      </c>
      <c r="M17" s="80">
        <v>2057</v>
      </c>
      <c r="N17" s="80">
        <f t="shared" si="0"/>
        <v>1.4605647517039922E-3</v>
      </c>
    </row>
    <row r="18" spans="1:14" x14ac:dyDescent="0.35">
      <c r="C18">
        <f>1-0.025</f>
        <v>0.97499999999999998</v>
      </c>
      <c r="D18" s="39">
        <f>D19-350</f>
        <v>1836.8000000000002</v>
      </c>
      <c r="E18" s="40">
        <f t="shared" si="3"/>
        <v>-20.519549059918234</v>
      </c>
      <c r="F18" s="41">
        <f t="shared" si="4"/>
        <v>-20.519549059918234</v>
      </c>
      <c r="G18" s="42">
        <f t="shared" si="5"/>
        <v>-198.10185340987846</v>
      </c>
      <c r="H18" s="43">
        <f t="shared" si="2"/>
        <v>151.89814659012154</v>
      </c>
      <c r="I18" s="44">
        <f t="shared" si="6"/>
        <v>131.37859753020331</v>
      </c>
      <c r="J18" s="45">
        <f t="shared" si="7"/>
        <v>1313.785975302033</v>
      </c>
      <c r="L18" s="80" t="s">
        <v>85</v>
      </c>
      <c r="M18" s="80">
        <v>2054</v>
      </c>
      <c r="N18" s="80">
        <f t="shared" si="0"/>
        <v>2.7256814203550889E-2</v>
      </c>
    </row>
    <row r="19" spans="1:14" x14ac:dyDescent="0.35">
      <c r="D19" s="46">
        <f>B7</f>
        <v>2186.8000000000002</v>
      </c>
      <c r="E19" s="40">
        <f t="shared" si="3"/>
        <v>-20.519549059918234</v>
      </c>
      <c r="F19" s="41">
        <f t="shared" si="4"/>
        <v>-20.519549059918234</v>
      </c>
      <c r="G19" s="42">
        <f t="shared" si="5"/>
        <v>-198.10185340987846</v>
      </c>
      <c r="H19" s="43">
        <f t="shared" si="2"/>
        <v>-198.10185340987846</v>
      </c>
      <c r="I19" s="47">
        <f>+F19+H19</f>
        <v>-218.62140246979669</v>
      </c>
      <c r="J19" s="45">
        <f t="shared" si="7"/>
        <v>-2186.214024697967</v>
      </c>
      <c r="L19" s="80" t="s">
        <v>86</v>
      </c>
      <c r="M19" s="80">
        <v>1999.5</v>
      </c>
      <c r="N19" s="80">
        <f t="shared" si="0"/>
        <v>-8.1845238095238099E-3</v>
      </c>
    </row>
    <row r="20" spans="1:14" x14ac:dyDescent="0.35">
      <c r="D20" s="39">
        <f>D19+350</f>
        <v>2536.8000000000002</v>
      </c>
      <c r="E20" s="40">
        <f t="shared" si="3"/>
        <v>-20.519549059918234</v>
      </c>
      <c r="F20" s="41">
        <f t="shared" ref="F20:F25" si="8">D20-$D$19+E20</f>
        <v>329.48045094008177</v>
      </c>
      <c r="G20" s="42">
        <f t="shared" si="5"/>
        <v>-198.10185340987846</v>
      </c>
      <c r="H20" s="43">
        <v>-25.564000214615163</v>
      </c>
      <c r="I20" s="44">
        <f t="shared" si="6"/>
        <v>303.91645072546658</v>
      </c>
      <c r="J20" s="45">
        <f t="shared" si="7"/>
        <v>3039.1645072546658</v>
      </c>
      <c r="L20" s="80" t="s">
        <v>87</v>
      </c>
      <c r="M20" s="80">
        <v>2016</v>
      </c>
      <c r="N20" s="80">
        <f t="shared" si="0"/>
        <v>3.9840637450199202E-3</v>
      </c>
    </row>
    <row r="21" spans="1:14" x14ac:dyDescent="0.35">
      <c r="D21" s="39">
        <f t="shared" ref="D21:D25" si="9">D20+350</f>
        <v>2886.8</v>
      </c>
      <c r="E21" s="40">
        <f t="shared" si="3"/>
        <v>-20.519549059918234</v>
      </c>
      <c r="F21" s="41">
        <f t="shared" si="8"/>
        <v>679.48045094008171</v>
      </c>
      <c r="G21" s="42">
        <f t="shared" si="5"/>
        <v>-198.10185340987846</v>
      </c>
      <c r="H21" s="43">
        <v>-25.564000214615163</v>
      </c>
      <c r="I21" s="44">
        <f t="shared" si="6"/>
        <v>653.91645072546658</v>
      </c>
      <c r="J21" s="45">
        <f t="shared" si="7"/>
        <v>6539.1645072546653</v>
      </c>
      <c r="L21" s="80" t="s">
        <v>88</v>
      </c>
      <c r="M21" s="80">
        <v>2008</v>
      </c>
      <c r="N21" s="80">
        <f t="shared" si="0"/>
        <v>1.2862547288776798E-2</v>
      </c>
    </row>
    <row r="22" spans="1:14" x14ac:dyDescent="0.35">
      <c r="D22" s="39">
        <f t="shared" si="9"/>
        <v>3236.8</v>
      </c>
      <c r="E22" s="40">
        <f t="shared" si="3"/>
        <v>-20.519549059918234</v>
      </c>
      <c r="F22" s="41">
        <f t="shared" si="8"/>
        <v>1029.4804509400817</v>
      </c>
      <c r="G22" s="42">
        <f t="shared" si="5"/>
        <v>-198.10185340987846</v>
      </c>
      <c r="H22" s="43">
        <v>-25.564000214615163</v>
      </c>
      <c r="I22" s="44">
        <f t="shared" si="6"/>
        <v>1003.9164507254666</v>
      </c>
      <c r="J22" s="45">
        <f t="shared" si="7"/>
        <v>10039.164507254665</v>
      </c>
      <c r="L22" s="80" t="s">
        <v>89</v>
      </c>
      <c r="M22" s="80">
        <v>1982.5</v>
      </c>
      <c r="N22" s="80">
        <f t="shared" si="0"/>
        <v>-8.006004503377533E-3</v>
      </c>
    </row>
    <row r="23" spans="1:14" x14ac:dyDescent="0.35">
      <c r="D23" s="39">
        <f t="shared" si="9"/>
        <v>3586.8</v>
      </c>
      <c r="E23" s="40">
        <f t="shared" si="3"/>
        <v>-20.519549059918234</v>
      </c>
      <c r="F23" s="41">
        <f t="shared" si="8"/>
        <v>1379.4804509400817</v>
      </c>
      <c r="G23" s="42">
        <f t="shared" si="5"/>
        <v>-198.10185340987846</v>
      </c>
      <c r="H23" s="43">
        <v>-25.564000214615163</v>
      </c>
      <c r="I23" s="44">
        <f t="shared" si="6"/>
        <v>1353.9164507254666</v>
      </c>
      <c r="J23" s="45">
        <f t="shared" si="7"/>
        <v>13539.164507254665</v>
      </c>
      <c r="L23" s="80" t="s">
        <v>90</v>
      </c>
      <c r="M23" s="80">
        <v>1998.5</v>
      </c>
      <c r="N23" s="80">
        <f t="shared" si="0"/>
        <v>-1.0153541357107479E-2</v>
      </c>
    </row>
    <row r="24" spans="1:14" x14ac:dyDescent="0.35">
      <c r="D24" s="39">
        <f t="shared" si="9"/>
        <v>3936.8</v>
      </c>
      <c r="E24" s="40">
        <f t="shared" si="3"/>
        <v>-20.519549059918234</v>
      </c>
      <c r="F24" s="41">
        <f t="shared" si="8"/>
        <v>1729.4804509400817</v>
      </c>
      <c r="G24" s="42">
        <f t="shared" si="5"/>
        <v>-198.10185340987846</v>
      </c>
      <c r="H24" s="43">
        <v>-25.564000214615163</v>
      </c>
      <c r="I24" s="44">
        <f t="shared" si="6"/>
        <v>1703.9164507254666</v>
      </c>
      <c r="J24" s="45">
        <f t="shared" si="7"/>
        <v>17039.164507254667</v>
      </c>
      <c r="L24" s="80" t="s">
        <v>91</v>
      </c>
      <c r="M24" s="80">
        <v>2019</v>
      </c>
      <c r="N24" s="80">
        <f t="shared" si="0"/>
        <v>-2.6049204052098408E-2</v>
      </c>
    </row>
    <row r="25" spans="1:14" x14ac:dyDescent="0.35">
      <c r="D25" s="39">
        <f t="shared" si="9"/>
        <v>4286.8</v>
      </c>
      <c r="E25" s="40">
        <f t="shared" si="3"/>
        <v>-20.519549059918234</v>
      </c>
      <c r="F25" s="41">
        <f t="shared" si="8"/>
        <v>2079.4804509400819</v>
      </c>
      <c r="G25" s="42">
        <f t="shared" si="5"/>
        <v>-198.10185340987846</v>
      </c>
      <c r="H25" s="43">
        <v>-25.564000214615163</v>
      </c>
      <c r="I25" s="44">
        <f t="shared" si="6"/>
        <v>2053.9164507254668</v>
      </c>
      <c r="J25" s="45">
        <f t="shared" si="7"/>
        <v>20539.164507254667</v>
      </c>
      <c r="L25" s="80" t="s">
        <v>92</v>
      </c>
      <c r="M25" s="80">
        <v>2073</v>
      </c>
      <c r="N25" s="80">
        <f t="shared" si="0"/>
        <v>3.3881897386253629E-3</v>
      </c>
    </row>
    <row r="26" spans="1:14" x14ac:dyDescent="0.35">
      <c r="L26" s="80" t="s">
        <v>93</v>
      </c>
      <c r="M26" s="80">
        <v>2066</v>
      </c>
      <c r="N26" s="80">
        <f t="shared" si="0"/>
        <v>1.4236622484045164E-2</v>
      </c>
    </row>
    <row r="27" spans="1:14" x14ac:dyDescent="0.35">
      <c r="L27" s="80" t="s">
        <v>94</v>
      </c>
      <c r="M27" s="80">
        <v>2037</v>
      </c>
      <c r="N27" s="80">
        <f t="shared" si="0"/>
        <v>-6.3414634146341468E-3</v>
      </c>
    </row>
    <row r="28" spans="1:14" ht="18" x14ac:dyDescent="0.4">
      <c r="A28" s="11" t="s">
        <v>65</v>
      </c>
      <c r="D28" s="12"/>
      <c r="L28" s="80" t="s">
        <v>95</v>
      </c>
      <c r="M28" s="80">
        <v>2050</v>
      </c>
      <c r="N28" s="80">
        <f t="shared" si="0"/>
        <v>8.8582677165354329E-3</v>
      </c>
    </row>
    <row r="29" spans="1:14" x14ac:dyDescent="0.35">
      <c r="J29">
        <v>10</v>
      </c>
      <c r="L29" s="80" t="s">
        <v>96</v>
      </c>
      <c r="M29" s="80">
        <v>2032</v>
      </c>
      <c r="N29" s="80">
        <f t="shared" si="0"/>
        <v>-1.4742014742014742E-3</v>
      </c>
    </row>
    <row r="30" spans="1:14" x14ac:dyDescent="0.35">
      <c r="L30" s="80" t="s">
        <v>97</v>
      </c>
      <c r="M30" s="80">
        <v>2035</v>
      </c>
      <c r="N30" s="80">
        <f t="shared" si="0"/>
        <v>-1.3094083414161009E-2</v>
      </c>
    </row>
    <row r="31" spans="1:14" x14ac:dyDescent="0.35">
      <c r="L31" s="80" t="s">
        <v>98</v>
      </c>
      <c r="M31" s="80">
        <v>2062</v>
      </c>
      <c r="N31" s="80">
        <f t="shared" si="0"/>
        <v>3.8948393378773127E-3</v>
      </c>
    </row>
    <row r="32" spans="1:14" x14ac:dyDescent="0.35">
      <c r="L32" s="80" t="s">
        <v>99</v>
      </c>
      <c r="M32" s="80">
        <v>2054</v>
      </c>
      <c r="N32" s="80">
        <f t="shared" si="0"/>
        <v>-1.4868105515587531E-2</v>
      </c>
    </row>
    <row r="33" spans="12:14" x14ac:dyDescent="0.35">
      <c r="L33" s="80" t="s">
        <v>100</v>
      </c>
      <c r="M33" s="80">
        <v>2085</v>
      </c>
      <c r="N33" s="80">
        <f t="shared" si="0"/>
        <v>1.8563751831949193E-2</v>
      </c>
    </row>
    <row r="34" spans="12:14" x14ac:dyDescent="0.35">
      <c r="L34" s="80" t="s">
        <v>101</v>
      </c>
      <c r="M34" s="80">
        <v>2047</v>
      </c>
      <c r="N34" s="80">
        <f t="shared" si="0"/>
        <v>-1.7754318618042227E-2</v>
      </c>
    </row>
    <row r="35" spans="12:14" x14ac:dyDescent="0.35">
      <c r="L35" s="80" t="s">
        <v>102</v>
      </c>
      <c r="M35" s="80">
        <v>2084</v>
      </c>
      <c r="N35" s="80">
        <f t="shared" si="0"/>
        <v>1.8075232046897899E-2</v>
      </c>
    </row>
    <row r="36" spans="12:14" x14ac:dyDescent="0.35">
      <c r="L36" s="80" t="s">
        <v>103</v>
      </c>
      <c r="M36" s="80">
        <v>2047</v>
      </c>
      <c r="N36" s="80">
        <f t="shared" si="0"/>
        <v>4.416094210009814E-3</v>
      </c>
    </row>
    <row r="37" spans="12:14" x14ac:dyDescent="0.35">
      <c r="L37" s="80" t="s">
        <v>104</v>
      </c>
      <c r="M37" s="80">
        <v>2038</v>
      </c>
      <c r="N37" s="80">
        <f t="shared" si="0"/>
        <v>0</v>
      </c>
    </row>
    <row r="38" spans="12:14" x14ac:dyDescent="0.35">
      <c r="L38" s="80" t="s">
        <v>105</v>
      </c>
      <c r="M38" s="80">
        <v>2038</v>
      </c>
      <c r="N38" s="80">
        <f t="shared" si="0"/>
        <v>8.9108910891089101E-3</v>
      </c>
    </row>
    <row r="39" spans="12:14" x14ac:dyDescent="0.35">
      <c r="L39" s="80" t="s">
        <v>106</v>
      </c>
      <c r="M39" s="80">
        <v>2020</v>
      </c>
      <c r="N39" s="80">
        <f t="shared" si="0"/>
        <v>1.3293202909455732E-2</v>
      </c>
    </row>
    <row r="40" spans="12:14" x14ac:dyDescent="0.35">
      <c r="L40" s="80" t="s">
        <v>107</v>
      </c>
      <c r="M40" s="80">
        <v>1993.5</v>
      </c>
      <c r="N40" s="80">
        <f t="shared" si="0"/>
        <v>3.7764350453172208E-3</v>
      </c>
    </row>
    <row r="41" spans="12:14" x14ac:dyDescent="0.35">
      <c r="L41" s="80" t="s">
        <v>108</v>
      </c>
      <c r="M41" s="80">
        <v>1986</v>
      </c>
      <c r="N41" s="80">
        <f t="shared" si="0"/>
        <v>1.4818599897802759E-2</v>
      </c>
    </row>
    <row r="42" spans="12:14" x14ac:dyDescent="0.35">
      <c r="L42" s="80" t="s">
        <v>109</v>
      </c>
      <c r="M42" s="80">
        <v>1957</v>
      </c>
      <c r="N42" s="80">
        <f t="shared" si="0"/>
        <v>-1.3360221830098312E-2</v>
      </c>
    </row>
    <row r="43" spans="12:14" x14ac:dyDescent="0.35">
      <c r="L43" s="80" t="s">
        <v>110</v>
      </c>
      <c r="M43" s="80">
        <v>1983.5</v>
      </c>
      <c r="N43" s="80">
        <f t="shared" si="0"/>
        <v>-9.2407592407592401E-3</v>
      </c>
    </row>
    <row r="44" spans="12:14" x14ac:dyDescent="0.35">
      <c r="L44" s="80" t="s">
        <v>111</v>
      </c>
      <c r="M44" s="80">
        <v>2002</v>
      </c>
      <c r="N44" s="80">
        <f t="shared" si="0"/>
        <v>1.7513134851138354E-3</v>
      </c>
    </row>
    <row r="45" spans="12:14" x14ac:dyDescent="0.35">
      <c r="L45" s="80" t="s">
        <v>112</v>
      </c>
      <c r="M45" s="80">
        <v>1998.5</v>
      </c>
      <c r="N45" s="80">
        <f t="shared" si="0"/>
        <v>2.5081514923501378E-3</v>
      </c>
    </row>
    <row r="46" spans="12:14" x14ac:dyDescent="0.35">
      <c r="L46" s="80" t="s">
        <v>113</v>
      </c>
      <c r="M46" s="80">
        <v>1993.5</v>
      </c>
      <c r="N46" s="80">
        <f t="shared" si="0"/>
        <v>5.8022199798183653E-3</v>
      </c>
    </row>
    <row r="47" spans="12:14" x14ac:dyDescent="0.35">
      <c r="L47" s="80" t="s">
        <v>114</v>
      </c>
      <c r="M47" s="80">
        <v>1982</v>
      </c>
      <c r="N47" s="80">
        <f t="shared" si="0"/>
        <v>5.836082212636387E-3</v>
      </c>
    </row>
    <row r="48" spans="12:14" x14ac:dyDescent="0.35">
      <c r="L48" s="80" t="s">
        <v>115</v>
      </c>
      <c r="M48" s="80">
        <v>1970.5</v>
      </c>
      <c r="N48" s="80">
        <f t="shared" si="0"/>
        <v>2.416839916839917E-2</v>
      </c>
    </row>
    <row r="49" spans="5:14" ht="18" x14ac:dyDescent="0.4">
      <c r="E49" s="12"/>
      <c r="L49" s="80" t="s">
        <v>116</v>
      </c>
      <c r="M49" s="80">
        <v>1924</v>
      </c>
      <c r="N49" s="80">
        <f t="shared" si="0"/>
        <v>2.599428125812321E-4</v>
      </c>
    </row>
    <row r="50" spans="5:14" x14ac:dyDescent="0.35">
      <c r="E50" t="s">
        <v>205</v>
      </c>
      <c r="G50" s="142">
        <f>(B7-I6+20.52)*1000</f>
        <v>-289679.99999999983</v>
      </c>
      <c r="I50" t="e">
        <f>CALL PRICE+EXERCISE PRICE*EXP(-RISK FREE RATE *MATURITY IN YEARS )</f>
        <v>#NAME?</v>
      </c>
      <c r="L50" s="80" t="s">
        <v>117</v>
      </c>
      <c r="M50" s="80">
        <v>1923.5</v>
      </c>
      <c r="N50" s="80">
        <f t="shared" si="0"/>
        <v>1.8229166666666667E-3</v>
      </c>
    </row>
    <row r="51" spans="5:14" x14ac:dyDescent="0.35">
      <c r="E51" t="s">
        <v>242</v>
      </c>
      <c r="F51">
        <f>C29*1000</f>
        <v>0</v>
      </c>
      <c r="G51">
        <f>E7*1000</f>
        <v>20519.549059918234</v>
      </c>
      <c r="H51" t="s">
        <v>243</v>
      </c>
      <c r="I51">
        <f>E7+F7*EXP(-C26*C25)</f>
        <v>20.519549059918234</v>
      </c>
      <c r="L51" s="80" t="s">
        <v>118</v>
      </c>
      <c r="M51" s="80">
        <v>1920</v>
      </c>
      <c r="N51" s="80">
        <f t="shared" si="0"/>
        <v>7.6095512988716869E-3</v>
      </c>
    </row>
    <row r="52" spans="5:14" x14ac:dyDescent="0.35">
      <c r="G52" s="141">
        <f>G50-G51</f>
        <v>-310199.54905991803</v>
      </c>
      <c r="H52" t="s">
        <v>243</v>
      </c>
      <c r="I52" s="143">
        <f>E8+B6</f>
        <v>2186.1018534098785</v>
      </c>
      <c r="L52" s="80" t="s">
        <v>119</v>
      </c>
      <c r="M52" s="80">
        <v>1905.5</v>
      </c>
      <c r="N52" s="80">
        <f t="shared" si="0"/>
        <v>1.114353940037145E-2</v>
      </c>
    </row>
    <row r="53" spans="5:14" x14ac:dyDescent="0.35">
      <c r="G53">
        <f>G52/100</f>
        <v>-3101.9954905991804</v>
      </c>
      <c r="I53" s="143">
        <f>I51-I52</f>
        <v>-2165.5823043499604</v>
      </c>
      <c r="L53" s="80" t="s">
        <v>120</v>
      </c>
      <c r="M53" s="80">
        <v>1884.5</v>
      </c>
      <c r="N53" s="80">
        <f t="shared" si="0"/>
        <v>-1.8538135593220339E-3</v>
      </c>
    </row>
    <row r="54" spans="5:14" x14ac:dyDescent="0.35">
      <c r="L54" s="80" t="s">
        <v>121</v>
      </c>
      <c r="M54" s="80">
        <v>1888</v>
      </c>
      <c r="N54" s="80">
        <f t="shared" si="0"/>
        <v>-1.8503832936822627E-3</v>
      </c>
    </row>
    <row r="55" spans="5:14" x14ac:dyDescent="0.35">
      <c r="L55" s="80" t="s">
        <v>122</v>
      </c>
      <c r="M55" s="80">
        <v>1891.5</v>
      </c>
      <c r="N55" s="80">
        <f t="shared" si="0"/>
        <v>-2.5000000000000001E-2</v>
      </c>
    </row>
    <row r="56" spans="5:14" x14ac:dyDescent="0.35">
      <c r="L56" s="80" t="s">
        <v>123</v>
      </c>
      <c r="M56" s="80">
        <v>1940</v>
      </c>
      <c r="N56" s="80">
        <f t="shared" si="0"/>
        <v>1.4909756735547999E-2</v>
      </c>
    </row>
    <row r="57" spans="5:14" x14ac:dyDescent="0.35">
      <c r="L57" s="80" t="s">
        <v>124</v>
      </c>
      <c r="M57" s="80">
        <v>1911.5</v>
      </c>
      <c r="N57" s="80">
        <f t="shared" si="0"/>
        <v>7.8534031413612568E-4</v>
      </c>
    </row>
    <row r="58" spans="5:14" x14ac:dyDescent="0.35">
      <c r="L58" s="80" t="s">
        <v>125</v>
      </c>
      <c r="M58" s="80">
        <v>1910</v>
      </c>
      <c r="N58" s="80">
        <f t="shared" si="0"/>
        <v>1.3106159895150721E-3</v>
      </c>
    </row>
    <row r="59" spans="5:14" x14ac:dyDescent="0.35">
      <c r="L59" s="80" t="s">
        <v>126</v>
      </c>
      <c r="M59" s="80">
        <v>1907.5</v>
      </c>
      <c r="N59" s="80">
        <f t="shared" si="0"/>
        <v>-2.0539152759948651E-2</v>
      </c>
    </row>
    <row r="60" spans="5:14" x14ac:dyDescent="0.35">
      <c r="L60" s="80" t="s">
        <v>127</v>
      </c>
      <c r="M60" s="80">
        <v>1947.5</v>
      </c>
      <c r="N60" s="80">
        <f t="shared" si="0"/>
        <v>1.1425603739288496E-2</v>
      </c>
    </row>
    <row r="61" spans="5:14" x14ac:dyDescent="0.35">
      <c r="L61" s="80" t="s">
        <v>128</v>
      </c>
      <c r="M61" s="80">
        <v>1925.5</v>
      </c>
      <c r="N61" s="80">
        <f t="shared" si="0"/>
        <v>4.4340114762649978E-3</v>
      </c>
    </row>
    <row r="62" spans="5:14" x14ac:dyDescent="0.35">
      <c r="L62" s="80" t="s">
        <v>129</v>
      </c>
      <c r="M62" s="80">
        <v>1917</v>
      </c>
      <c r="N62" s="80">
        <f t="shared" si="0"/>
        <v>-4.4144378083614648E-3</v>
      </c>
    </row>
    <row r="63" spans="5:14" x14ac:dyDescent="0.35">
      <c r="L63" s="80" t="s">
        <v>130</v>
      </c>
      <c r="M63" s="80">
        <v>1925.5</v>
      </c>
      <c r="N63" s="80">
        <f t="shared" si="0"/>
        <v>1.3421052631578948E-2</v>
      </c>
    </row>
    <row r="64" spans="5:14" x14ac:dyDescent="0.35">
      <c r="L64" s="80" t="s">
        <v>131</v>
      </c>
      <c r="M64" s="80">
        <v>1900</v>
      </c>
      <c r="N64" s="80">
        <f t="shared" si="0"/>
        <v>6.8892421833598302E-3</v>
      </c>
    </row>
    <row r="65" spans="12:14" x14ac:dyDescent="0.35">
      <c r="L65" s="80" t="s">
        <v>132</v>
      </c>
      <c r="M65" s="80">
        <v>1887</v>
      </c>
      <c r="N65" s="80">
        <f t="shared" si="0"/>
        <v>-2.9062087186261559E-3</v>
      </c>
    </row>
    <row r="66" spans="12:14" x14ac:dyDescent="0.35">
      <c r="L66" s="80" t="s">
        <v>133</v>
      </c>
      <c r="M66" s="80">
        <v>1892.5</v>
      </c>
      <c r="N66" s="80">
        <f>(M66-M67)/M67</f>
        <v>-2.8989225243714726E-2</v>
      </c>
    </row>
    <row r="67" spans="12:14" x14ac:dyDescent="0.35">
      <c r="L67" s="80" t="s">
        <v>134</v>
      </c>
      <c r="M67" s="80">
        <v>1949</v>
      </c>
      <c r="N67" s="80"/>
    </row>
    <row r="68" spans="12:14" x14ac:dyDescent="0.35">
      <c r="L68" s="16"/>
      <c r="M68" s="16"/>
      <c r="N68" s="16"/>
    </row>
    <row r="69" spans="12:14" x14ac:dyDescent="0.35">
      <c r="L69" s="9"/>
    </row>
    <row r="70" spans="12:14" x14ac:dyDescent="0.35">
      <c r="L70" s="9"/>
    </row>
    <row r="71" spans="12:14" x14ac:dyDescent="0.35">
      <c r="L71" s="9"/>
    </row>
  </sheetData>
  <mergeCells count="7">
    <mergeCell ref="R5:R6"/>
    <mergeCell ref="A1:E1"/>
    <mergeCell ref="H1:I1"/>
    <mergeCell ref="A2:B2"/>
    <mergeCell ref="D2:E2"/>
    <mergeCell ref="P3:Q3"/>
    <mergeCell ref="P5:Q6"/>
  </mergeCells>
  <conditionalFormatting sqref="D13:D18">
    <cfRule type="top10" dxfId="4" priority="3" rank="10"/>
  </conditionalFormatting>
  <conditionalFormatting sqref="D20:D25">
    <cfRule type="top10" dxfId="3" priority="2" bottom="1" rank="10"/>
  </conditionalFormatting>
  <conditionalFormatting sqref="J13:J19">
    <cfRule type="top10" dxfId="2" priority="1" rank="10"/>
  </conditionalFormatting>
  <conditionalFormatting sqref="J13:J25">
    <cfRule type="cellIs" dxfId="1" priority="4" operator="greaterThan">
      <formula>422.56</formula>
    </cfRule>
    <cfRule type="top10" dxfId="0" priority="5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580B-E3F8-4B78-B57D-D2E530E0E3D7}">
  <dimension ref="A1:M89"/>
  <sheetViews>
    <sheetView zoomScale="69" workbookViewId="0">
      <selection activeCell="F15" sqref="F15"/>
    </sheetView>
  </sheetViews>
  <sheetFormatPr defaultColWidth="11.36328125" defaultRowHeight="14.5" x14ac:dyDescent="0.35"/>
  <cols>
    <col min="8" max="8" width="24.7265625" customWidth="1"/>
    <col min="13" max="13" width="11.90625" bestFit="1" customWidth="1"/>
  </cols>
  <sheetData>
    <row r="1" spans="1:13" ht="31" x14ac:dyDescent="0.35">
      <c r="A1" s="82">
        <v>45231</v>
      </c>
      <c r="B1" s="54" t="s">
        <v>66</v>
      </c>
      <c r="C1" s="81"/>
      <c r="H1" s="18" t="s">
        <v>138</v>
      </c>
      <c r="I1" s="14">
        <v>1951</v>
      </c>
      <c r="J1" s="14">
        <v>1994.75</v>
      </c>
      <c r="K1" s="14">
        <v>1942.5</v>
      </c>
      <c r="L1" s="14">
        <v>1988</v>
      </c>
      <c r="M1" s="19">
        <v>2890095</v>
      </c>
    </row>
    <row r="2" spans="1:13" ht="31" x14ac:dyDescent="0.35">
      <c r="A2" s="82">
        <v>45232</v>
      </c>
      <c r="H2" s="20" t="s">
        <v>139</v>
      </c>
      <c r="I2" s="15">
        <v>1949.5</v>
      </c>
      <c r="J2" s="15">
        <v>1979.5</v>
      </c>
      <c r="K2" s="15">
        <v>1925</v>
      </c>
      <c r="L2" s="15">
        <v>1934.5</v>
      </c>
      <c r="M2" s="21">
        <v>3016091</v>
      </c>
    </row>
    <row r="3" spans="1:13" ht="31" x14ac:dyDescent="0.35">
      <c r="A3" s="82">
        <v>45233</v>
      </c>
      <c r="B3" s="17">
        <f>63</f>
        <v>63</v>
      </c>
      <c r="C3" s="17" t="s">
        <v>137</v>
      </c>
      <c r="H3" s="18" t="s">
        <v>140</v>
      </c>
      <c r="I3" s="14">
        <v>1978.5</v>
      </c>
      <c r="J3" s="14">
        <v>1995</v>
      </c>
      <c r="K3" s="14">
        <v>1940.29</v>
      </c>
      <c r="L3" s="14">
        <v>1943</v>
      </c>
      <c r="M3" s="19">
        <v>3961842</v>
      </c>
    </row>
    <row r="4" spans="1:13" ht="31" x14ac:dyDescent="0.35">
      <c r="A4" s="82">
        <v>45236</v>
      </c>
      <c r="H4" s="20" t="s">
        <v>141</v>
      </c>
      <c r="I4" s="15">
        <v>1985.5</v>
      </c>
      <c r="J4" s="15">
        <v>1991.5</v>
      </c>
      <c r="K4" s="15">
        <v>1959.5</v>
      </c>
      <c r="L4" s="15">
        <v>1968.5</v>
      </c>
      <c r="M4" s="21">
        <v>1577650</v>
      </c>
    </row>
    <row r="5" spans="1:13" ht="31" x14ac:dyDescent="0.35">
      <c r="A5" s="82">
        <v>45237</v>
      </c>
      <c r="H5" s="18" t="s">
        <v>142</v>
      </c>
      <c r="I5" s="14">
        <v>1982.5</v>
      </c>
      <c r="J5" s="14">
        <v>2007</v>
      </c>
      <c r="K5" s="14">
        <v>1939</v>
      </c>
      <c r="L5" s="14">
        <v>1978</v>
      </c>
      <c r="M5" s="19">
        <v>2957729</v>
      </c>
    </row>
    <row r="6" spans="1:13" ht="31" x14ac:dyDescent="0.35">
      <c r="A6" s="82">
        <v>45238</v>
      </c>
      <c r="H6" s="20" t="s">
        <v>143</v>
      </c>
      <c r="I6" s="15">
        <v>1991</v>
      </c>
      <c r="J6" s="15">
        <v>2008</v>
      </c>
      <c r="K6" s="15">
        <v>1977.5</v>
      </c>
      <c r="L6" s="15">
        <v>1996</v>
      </c>
      <c r="M6" s="21">
        <v>2462506</v>
      </c>
    </row>
    <row r="7" spans="1:13" ht="31" x14ac:dyDescent="0.35">
      <c r="A7" s="82">
        <v>45239</v>
      </c>
      <c r="H7" s="18" t="s">
        <v>144</v>
      </c>
      <c r="I7" s="14">
        <v>2021</v>
      </c>
      <c r="J7" s="14">
        <v>2031</v>
      </c>
      <c r="K7" s="14">
        <v>1989</v>
      </c>
      <c r="L7" s="14">
        <v>1991.5</v>
      </c>
      <c r="M7" s="19">
        <v>2933280</v>
      </c>
    </row>
    <row r="8" spans="1:13" ht="31" x14ac:dyDescent="0.35">
      <c r="A8" s="82">
        <v>45240</v>
      </c>
      <c r="H8" s="20" t="s">
        <v>145</v>
      </c>
      <c r="I8" s="15">
        <v>2008</v>
      </c>
      <c r="J8" s="15">
        <v>2033</v>
      </c>
      <c r="K8" s="15">
        <v>1984.72</v>
      </c>
      <c r="L8" s="15">
        <v>2029</v>
      </c>
      <c r="M8" s="21">
        <v>1305410</v>
      </c>
    </row>
    <row r="9" spans="1:13" ht="31" x14ac:dyDescent="0.35">
      <c r="A9" s="82">
        <v>45243</v>
      </c>
      <c r="H9" s="18" t="s">
        <v>146</v>
      </c>
      <c r="I9" s="14">
        <v>2015</v>
      </c>
      <c r="J9" s="14">
        <v>2036</v>
      </c>
      <c r="K9" s="14">
        <v>1999.5</v>
      </c>
      <c r="L9" s="14">
        <v>2005</v>
      </c>
      <c r="M9" s="19">
        <v>1584002</v>
      </c>
    </row>
    <row r="10" spans="1:13" ht="31" x14ac:dyDescent="0.35">
      <c r="A10" s="82">
        <v>45244</v>
      </c>
      <c r="H10" s="20" t="s">
        <v>147</v>
      </c>
      <c r="I10" s="15">
        <v>2043</v>
      </c>
      <c r="J10" s="15">
        <v>2048</v>
      </c>
      <c r="K10" s="15">
        <v>2015.5</v>
      </c>
      <c r="L10" s="15">
        <v>2031</v>
      </c>
      <c r="M10" s="21">
        <v>1120300</v>
      </c>
    </row>
    <row r="11" spans="1:13" ht="31" x14ac:dyDescent="0.35">
      <c r="A11" s="82">
        <v>45245</v>
      </c>
      <c r="H11" s="18" t="s">
        <v>148</v>
      </c>
      <c r="I11" s="14">
        <v>2094</v>
      </c>
      <c r="J11" s="14">
        <v>2109</v>
      </c>
      <c r="K11" s="14">
        <v>2046</v>
      </c>
      <c r="L11" s="14">
        <v>2053</v>
      </c>
      <c r="M11" s="19">
        <v>1184567</v>
      </c>
    </row>
    <row r="12" spans="1:13" ht="31" x14ac:dyDescent="0.35">
      <c r="A12" s="82">
        <v>45246</v>
      </c>
      <c r="H12" s="20" t="s">
        <v>149</v>
      </c>
      <c r="I12" s="15">
        <v>2059</v>
      </c>
      <c r="J12" s="15">
        <v>2093</v>
      </c>
      <c r="K12" s="15">
        <v>2043</v>
      </c>
      <c r="L12" s="15">
        <v>2093</v>
      </c>
      <c r="M12" s="21">
        <v>1547539</v>
      </c>
    </row>
    <row r="13" spans="1:13" ht="31" x14ac:dyDescent="0.35">
      <c r="A13" s="82">
        <v>45247</v>
      </c>
      <c r="H13" s="18" t="s">
        <v>150</v>
      </c>
      <c r="I13" s="14">
        <v>2085</v>
      </c>
      <c r="J13" s="14">
        <v>2085</v>
      </c>
      <c r="K13" s="14">
        <v>2048</v>
      </c>
      <c r="L13" s="14">
        <v>2073</v>
      </c>
      <c r="M13" s="19">
        <v>1422325</v>
      </c>
    </row>
    <row r="14" spans="1:13" ht="31" x14ac:dyDescent="0.35">
      <c r="A14" s="82">
        <v>45250</v>
      </c>
      <c r="H14" s="20" t="s">
        <v>151</v>
      </c>
      <c r="I14" s="15">
        <v>2066</v>
      </c>
      <c r="J14" s="15">
        <v>2087</v>
      </c>
      <c r="K14" s="15">
        <v>2056</v>
      </c>
      <c r="L14" s="15">
        <v>2070</v>
      </c>
      <c r="M14" s="21">
        <v>1574804</v>
      </c>
    </row>
    <row r="15" spans="1:13" ht="31" x14ac:dyDescent="0.35">
      <c r="A15" s="82">
        <v>45251</v>
      </c>
      <c r="H15" s="18" t="s">
        <v>152</v>
      </c>
      <c r="I15" s="14">
        <v>2073</v>
      </c>
      <c r="J15" s="14">
        <v>2086</v>
      </c>
      <c r="K15" s="14">
        <v>2057</v>
      </c>
      <c r="L15" s="14">
        <v>2072</v>
      </c>
      <c r="M15" s="19">
        <v>1213538</v>
      </c>
    </row>
    <row r="16" spans="1:13" ht="31" x14ac:dyDescent="0.35">
      <c r="A16" s="82">
        <v>45252</v>
      </c>
      <c r="H16" s="20" t="s">
        <v>153</v>
      </c>
      <c r="I16" s="15">
        <v>2043</v>
      </c>
      <c r="J16" s="15">
        <v>2073</v>
      </c>
      <c r="K16" s="15">
        <v>2030</v>
      </c>
      <c r="L16" s="15">
        <v>2057</v>
      </c>
      <c r="M16" s="21">
        <v>1372305</v>
      </c>
    </row>
    <row r="17" spans="1:13" ht="31" x14ac:dyDescent="0.35">
      <c r="A17" s="82">
        <v>45253</v>
      </c>
      <c r="H17" s="18" t="s">
        <v>154</v>
      </c>
      <c r="I17" s="14">
        <v>2020</v>
      </c>
      <c r="J17" s="14">
        <v>2058</v>
      </c>
      <c r="K17" s="14">
        <v>1984.5</v>
      </c>
      <c r="L17" s="14">
        <v>2054</v>
      </c>
      <c r="M17" s="19">
        <v>1261859</v>
      </c>
    </row>
    <row r="18" spans="1:13" ht="31" x14ac:dyDescent="0.35">
      <c r="A18" s="82">
        <v>45254</v>
      </c>
      <c r="H18" s="20" t="s">
        <v>155</v>
      </c>
      <c r="I18" s="15">
        <v>2025</v>
      </c>
      <c r="J18" s="15">
        <v>2025</v>
      </c>
      <c r="K18" s="15">
        <v>1982.5</v>
      </c>
      <c r="L18" s="15">
        <v>1999.5</v>
      </c>
      <c r="M18" s="21">
        <v>1302268</v>
      </c>
    </row>
    <row r="19" spans="1:13" ht="31" x14ac:dyDescent="0.35">
      <c r="A19" s="82">
        <v>45257</v>
      </c>
      <c r="H19" s="18" t="s">
        <v>156</v>
      </c>
      <c r="I19" s="14">
        <v>2020</v>
      </c>
      <c r="J19" s="14">
        <v>2030</v>
      </c>
      <c r="K19" s="14">
        <v>1991.5</v>
      </c>
      <c r="L19" s="14">
        <v>2016</v>
      </c>
      <c r="M19" s="19">
        <v>1690645</v>
      </c>
    </row>
    <row r="20" spans="1:13" ht="31" x14ac:dyDescent="0.35">
      <c r="A20" s="82">
        <v>45258</v>
      </c>
      <c r="H20" s="20" t="s">
        <v>157</v>
      </c>
      <c r="I20" s="15">
        <v>1987</v>
      </c>
      <c r="J20" s="15">
        <v>2022</v>
      </c>
      <c r="K20" s="15">
        <v>1983.5</v>
      </c>
      <c r="L20" s="15">
        <v>2008</v>
      </c>
      <c r="M20" s="21">
        <v>1495271</v>
      </c>
    </row>
    <row r="21" spans="1:13" ht="31" x14ac:dyDescent="0.35">
      <c r="A21" s="82">
        <v>45259</v>
      </c>
      <c r="H21" s="18" t="s">
        <v>158</v>
      </c>
      <c r="I21" s="14">
        <v>1982</v>
      </c>
      <c r="J21" s="14">
        <v>2012</v>
      </c>
      <c r="K21" s="14">
        <v>1975.5</v>
      </c>
      <c r="L21" s="14">
        <v>1982.5</v>
      </c>
      <c r="M21" s="19">
        <v>1828274</v>
      </c>
    </row>
    <row r="22" spans="1:13" ht="31" x14ac:dyDescent="0.35">
      <c r="A22" s="82">
        <v>45260</v>
      </c>
      <c r="H22" s="20" t="s">
        <v>159</v>
      </c>
      <c r="I22" s="15">
        <v>2008</v>
      </c>
      <c r="J22" s="15">
        <v>2043</v>
      </c>
      <c r="K22" s="15">
        <v>1997.46</v>
      </c>
      <c r="L22" s="15">
        <v>1998.5</v>
      </c>
      <c r="M22" s="21">
        <v>1581297</v>
      </c>
    </row>
    <row r="23" spans="1:13" ht="31" x14ac:dyDescent="0.35">
      <c r="A23" s="82">
        <v>45261</v>
      </c>
      <c r="H23" s="18" t="s">
        <v>160</v>
      </c>
      <c r="I23" s="14">
        <v>2073</v>
      </c>
      <c r="J23" s="14">
        <v>2093</v>
      </c>
      <c r="K23" s="14">
        <v>2012</v>
      </c>
      <c r="L23" s="14">
        <v>2019</v>
      </c>
      <c r="M23" s="19">
        <v>1218030</v>
      </c>
    </row>
    <row r="24" spans="1:13" ht="31" x14ac:dyDescent="0.35">
      <c r="A24" s="82">
        <v>45264</v>
      </c>
      <c r="H24" s="20" t="s">
        <v>161</v>
      </c>
      <c r="I24" s="15">
        <v>2085</v>
      </c>
      <c r="J24" s="15">
        <v>2088</v>
      </c>
      <c r="K24" s="15">
        <v>2064</v>
      </c>
      <c r="L24" s="15">
        <v>2073</v>
      </c>
      <c r="M24" s="21">
        <v>3257340</v>
      </c>
    </row>
    <row r="25" spans="1:13" ht="31" x14ac:dyDescent="0.35">
      <c r="A25" s="82">
        <v>45265</v>
      </c>
      <c r="H25" s="18" t="s">
        <v>162</v>
      </c>
      <c r="I25" s="14">
        <v>2041</v>
      </c>
      <c r="J25" s="14">
        <v>2066</v>
      </c>
      <c r="K25" s="14">
        <v>2033</v>
      </c>
      <c r="L25" s="14">
        <v>2066</v>
      </c>
      <c r="M25" s="19">
        <v>1627919</v>
      </c>
    </row>
    <row r="26" spans="1:13" ht="31" x14ac:dyDescent="0.35">
      <c r="A26" s="82">
        <v>45266</v>
      </c>
      <c r="H26" s="20" t="s">
        <v>163</v>
      </c>
      <c r="I26" s="15">
        <v>2046</v>
      </c>
      <c r="J26" s="15">
        <v>2054</v>
      </c>
      <c r="K26" s="15">
        <v>2022</v>
      </c>
      <c r="L26" s="15">
        <v>2037</v>
      </c>
      <c r="M26" s="21">
        <v>4155910</v>
      </c>
    </row>
    <row r="27" spans="1:13" ht="31" x14ac:dyDescent="0.35">
      <c r="A27" s="82">
        <v>45267</v>
      </c>
      <c r="H27" s="18" t="s">
        <v>164</v>
      </c>
      <c r="I27" s="14">
        <v>2029</v>
      </c>
      <c r="J27" s="14">
        <v>2064</v>
      </c>
      <c r="K27" s="14">
        <v>2020</v>
      </c>
      <c r="L27" s="14">
        <v>2050</v>
      </c>
      <c r="M27" s="19">
        <v>857409</v>
      </c>
    </row>
    <row r="28" spans="1:13" ht="31" x14ac:dyDescent="0.35">
      <c r="A28" s="82">
        <v>45268</v>
      </c>
      <c r="H28" s="20" t="s">
        <v>165</v>
      </c>
      <c r="I28" s="15">
        <v>2032</v>
      </c>
      <c r="J28" s="15">
        <v>2032</v>
      </c>
      <c r="K28" s="15">
        <v>2015</v>
      </c>
      <c r="L28" s="15">
        <v>2032</v>
      </c>
      <c r="M28" s="21">
        <v>1062692</v>
      </c>
    </row>
    <row r="29" spans="1:13" ht="31" x14ac:dyDescent="0.35">
      <c r="A29" s="82">
        <v>45271</v>
      </c>
      <c r="H29" s="18" t="s">
        <v>166</v>
      </c>
      <c r="I29" s="14">
        <v>2037</v>
      </c>
      <c r="J29" s="14">
        <v>2066</v>
      </c>
      <c r="K29" s="14">
        <v>2027</v>
      </c>
      <c r="L29" s="14">
        <v>2035</v>
      </c>
      <c r="M29" s="19">
        <v>2039864</v>
      </c>
    </row>
    <row r="30" spans="1:13" ht="31" x14ac:dyDescent="0.35">
      <c r="A30" s="82">
        <v>45272</v>
      </c>
      <c r="H30" s="20" t="s">
        <v>167</v>
      </c>
      <c r="I30" s="15">
        <v>2053</v>
      </c>
      <c r="J30" s="15">
        <v>2076.5</v>
      </c>
      <c r="K30" s="15">
        <v>2044</v>
      </c>
      <c r="L30" s="15">
        <v>2062</v>
      </c>
      <c r="M30" s="21">
        <v>2911430</v>
      </c>
    </row>
    <row r="31" spans="1:13" ht="31" x14ac:dyDescent="0.35">
      <c r="A31" s="82">
        <v>45273</v>
      </c>
      <c r="H31" s="18" t="s">
        <v>168</v>
      </c>
      <c r="I31" s="14">
        <v>2083</v>
      </c>
      <c r="J31" s="14">
        <v>2107</v>
      </c>
      <c r="K31" s="14">
        <v>2046</v>
      </c>
      <c r="L31" s="14">
        <v>2054</v>
      </c>
      <c r="M31" s="19">
        <v>3236773</v>
      </c>
    </row>
    <row r="32" spans="1:13" ht="31" x14ac:dyDescent="0.35">
      <c r="A32" s="82">
        <v>45274</v>
      </c>
      <c r="H32" s="20" t="s">
        <v>169</v>
      </c>
      <c r="I32" s="15">
        <v>2047</v>
      </c>
      <c r="J32" s="15">
        <v>2085</v>
      </c>
      <c r="K32" s="15">
        <v>2042.51</v>
      </c>
      <c r="L32" s="15">
        <v>2085</v>
      </c>
      <c r="M32" s="21">
        <v>1949793</v>
      </c>
    </row>
    <row r="33" spans="1:13" ht="31" x14ac:dyDescent="0.35">
      <c r="A33" s="82">
        <v>45275</v>
      </c>
      <c r="H33" s="18" t="s">
        <v>170</v>
      </c>
      <c r="I33" s="14">
        <v>2086</v>
      </c>
      <c r="J33" s="14">
        <v>2093</v>
      </c>
      <c r="K33" s="14">
        <v>2038</v>
      </c>
      <c r="L33" s="14">
        <v>2047</v>
      </c>
      <c r="M33" s="19">
        <v>791717</v>
      </c>
    </row>
    <row r="34" spans="1:13" ht="31" x14ac:dyDescent="0.35">
      <c r="A34" s="82">
        <v>45278</v>
      </c>
      <c r="H34" s="20" t="s">
        <v>171</v>
      </c>
      <c r="I34" s="15">
        <v>2063</v>
      </c>
      <c r="J34" s="15">
        <v>2095</v>
      </c>
      <c r="K34" s="15">
        <v>2050</v>
      </c>
      <c r="L34" s="15">
        <v>2084</v>
      </c>
      <c r="M34" s="21">
        <v>5482161</v>
      </c>
    </row>
    <row r="35" spans="1:13" ht="31" x14ac:dyDescent="0.35">
      <c r="A35" s="82">
        <v>45279</v>
      </c>
      <c r="H35" s="18" t="s">
        <v>172</v>
      </c>
      <c r="I35" s="14">
        <v>2044</v>
      </c>
      <c r="J35" s="14">
        <v>2051</v>
      </c>
      <c r="K35" s="14">
        <v>2017</v>
      </c>
      <c r="L35" s="14">
        <v>2047</v>
      </c>
      <c r="M35" s="19">
        <v>1995250</v>
      </c>
    </row>
    <row r="36" spans="1:13" ht="31" x14ac:dyDescent="0.35">
      <c r="A36" s="82">
        <v>45280</v>
      </c>
      <c r="H36" s="20" t="s">
        <v>173</v>
      </c>
      <c r="I36" s="15">
        <v>2041</v>
      </c>
      <c r="J36" s="15">
        <v>2046</v>
      </c>
      <c r="K36" s="15">
        <v>2011</v>
      </c>
      <c r="L36" s="15">
        <v>2038</v>
      </c>
      <c r="M36" s="21">
        <v>1443337</v>
      </c>
    </row>
    <row r="37" spans="1:13" ht="31" x14ac:dyDescent="0.35">
      <c r="A37" s="82">
        <v>45281</v>
      </c>
      <c r="H37" s="18" t="s">
        <v>174</v>
      </c>
      <c r="I37" s="14">
        <v>2030</v>
      </c>
      <c r="J37" s="14">
        <v>2058</v>
      </c>
      <c r="K37" s="14">
        <v>2025</v>
      </c>
      <c r="L37" s="14">
        <v>2038</v>
      </c>
      <c r="M37" s="19">
        <v>1908428</v>
      </c>
    </row>
    <row r="38" spans="1:13" ht="31" x14ac:dyDescent="0.35">
      <c r="A38" s="82">
        <v>45282</v>
      </c>
      <c r="H38" s="20" t="s">
        <v>175</v>
      </c>
      <c r="I38" s="15">
        <v>1996</v>
      </c>
      <c r="J38" s="15">
        <v>2021</v>
      </c>
      <c r="K38" s="15">
        <v>1995.5</v>
      </c>
      <c r="L38" s="15">
        <v>2020</v>
      </c>
      <c r="M38" s="21">
        <v>3245536</v>
      </c>
    </row>
    <row r="39" spans="1:13" ht="31" x14ac:dyDescent="0.35">
      <c r="A39" s="82">
        <v>45287</v>
      </c>
      <c r="H39" s="18" t="s">
        <v>176</v>
      </c>
      <c r="I39" s="14">
        <v>1997</v>
      </c>
      <c r="J39" s="14">
        <v>2009</v>
      </c>
      <c r="K39" s="14">
        <v>1970.5</v>
      </c>
      <c r="L39" s="14">
        <v>1993.5</v>
      </c>
      <c r="M39" s="19">
        <v>621543</v>
      </c>
    </row>
    <row r="40" spans="1:13" ht="31" x14ac:dyDescent="0.35">
      <c r="A40" s="82">
        <v>45288</v>
      </c>
      <c r="H40" s="20" t="s">
        <v>177</v>
      </c>
      <c r="I40" s="15">
        <v>1945.5</v>
      </c>
      <c r="J40" s="15">
        <v>1991.5</v>
      </c>
      <c r="K40" s="15">
        <v>1945</v>
      </c>
      <c r="L40" s="15">
        <v>1986</v>
      </c>
      <c r="M40" s="21">
        <v>1238521</v>
      </c>
    </row>
    <row r="41" spans="1:13" ht="31" x14ac:dyDescent="0.35">
      <c r="A41" s="82">
        <v>45289</v>
      </c>
      <c r="H41" s="18" t="s">
        <v>178</v>
      </c>
      <c r="I41" s="14">
        <v>1973</v>
      </c>
      <c r="J41" s="14">
        <v>1978</v>
      </c>
      <c r="K41" s="14">
        <v>1935</v>
      </c>
      <c r="L41" s="14">
        <v>1957</v>
      </c>
      <c r="M41" s="19">
        <v>1053759</v>
      </c>
    </row>
    <row r="42" spans="1:13" ht="31" x14ac:dyDescent="0.35">
      <c r="A42" s="82">
        <v>45293</v>
      </c>
      <c r="H42" s="20" t="s">
        <v>179</v>
      </c>
      <c r="I42" s="15">
        <v>1994</v>
      </c>
      <c r="J42" s="15">
        <v>2004</v>
      </c>
      <c r="K42" s="15">
        <v>1966</v>
      </c>
      <c r="L42" s="15">
        <v>1983.5</v>
      </c>
      <c r="M42" s="21">
        <v>1189660</v>
      </c>
    </row>
    <row r="43" spans="1:13" ht="31" x14ac:dyDescent="0.35">
      <c r="A43" s="82">
        <v>45294</v>
      </c>
      <c r="H43" s="18" t="s">
        <v>180</v>
      </c>
      <c r="I43" s="14">
        <v>2007</v>
      </c>
      <c r="J43" s="14">
        <v>2012</v>
      </c>
      <c r="K43" s="14">
        <v>1998.5</v>
      </c>
      <c r="L43" s="14">
        <v>2002</v>
      </c>
      <c r="M43" s="19">
        <v>659669</v>
      </c>
    </row>
    <row r="44" spans="1:13" ht="31" x14ac:dyDescent="0.35">
      <c r="A44" s="82">
        <v>45295</v>
      </c>
      <c r="H44" s="20" t="s">
        <v>181</v>
      </c>
      <c r="I44" s="15">
        <v>1990.5</v>
      </c>
      <c r="J44" s="15">
        <v>2005</v>
      </c>
      <c r="K44" s="15">
        <v>1981</v>
      </c>
      <c r="L44" s="15">
        <v>1998.5</v>
      </c>
      <c r="M44" s="21">
        <v>1116564</v>
      </c>
    </row>
    <row r="45" spans="1:13" ht="31" x14ac:dyDescent="0.35">
      <c r="A45" s="82">
        <v>45296</v>
      </c>
      <c r="H45" s="18" t="s">
        <v>182</v>
      </c>
      <c r="I45" s="14">
        <v>1985</v>
      </c>
      <c r="J45" s="14">
        <v>2000</v>
      </c>
      <c r="K45" s="14">
        <v>1984</v>
      </c>
      <c r="L45" s="14">
        <v>1993.5</v>
      </c>
      <c r="M45" s="19">
        <v>6035734</v>
      </c>
    </row>
    <row r="46" spans="1:13" ht="31" x14ac:dyDescent="0.35">
      <c r="A46" s="82">
        <v>45299</v>
      </c>
      <c r="H46" s="20" t="s">
        <v>183</v>
      </c>
      <c r="I46" s="15">
        <v>1979.5</v>
      </c>
      <c r="J46" s="15">
        <v>1983.25</v>
      </c>
      <c r="K46" s="15">
        <v>1962.5</v>
      </c>
      <c r="L46" s="15">
        <v>1982</v>
      </c>
      <c r="M46" s="21">
        <v>530120</v>
      </c>
    </row>
    <row r="47" spans="1:13" ht="31" x14ac:dyDescent="0.35">
      <c r="A47" s="82">
        <v>45300</v>
      </c>
      <c r="H47" s="18" t="s">
        <v>184</v>
      </c>
      <c r="I47" s="14">
        <v>1942</v>
      </c>
      <c r="J47" s="14">
        <v>1981</v>
      </c>
      <c r="K47" s="14">
        <v>1933</v>
      </c>
      <c r="L47" s="14">
        <v>1970.5</v>
      </c>
      <c r="M47" s="19">
        <v>2573927</v>
      </c>
    </row>
    <row r="48" spans="1:13" ht="31" x14ac:dyDescent="0.35">
      <c r="A48" s="82">
        <v>45301</v>
      </c>
      <c r="H48" s="20" t="s">
        <v>185</v>
      </c>
      <c r="I48" s="15">
        <v>1919</v>
      </c>
      <c r="J48" s="15">
        <v>1948</v>
      </c>
      <c r="K48" s="15">
        <v>1915</v>
      </c>
      <c r="L48" s="15">
        <v>1924</v>
      </c>
      <c r="M48" s="21">
        <v>668989</v>
      </c>
    </row>
    <row r="49" spans="1:13" ht="31" x14ac:dyDescent="0.35">
      <c r="A49" s="82">
        <v>45302</v>
      </c>
      <c r="H49" s="18" t="s">
        <v>186</v>
      </c>
      <c r="I49" s="14">
        <v>1939.5</v>
      </c>
      <c r="J49" s="14">
        <v>1954</v>
      </c>
      <c r="K49" s="14">
        <v>1922</v>
      </c>
      <c r="L49" s="14">
        <v>1923.5</v>
      </c>
      <c r="M49" s="19">
        <v>498922</v>
      </c>
    </row>
    <row r="50" spans="1:13" ht="31" x14ac:dyDescent="0.35">
      <c r="A50" s="82">
        <v>45303</v>
      </c>
      <c r="H50" s="20" t="s">
        <v>187</v>
      </c>
      <c r="I50" s="15">
        <v>1911.5</v>
      </c>
      <c r="J50" s="15">
        <v>1939.5</v>
      </c>
      <c r="K50" s="15">
        <v>1911.5</v>
      </c>
      <c r="L50" s="15">
        <v>1920</v>
      </c>
      <c r="M50" s="21">
        <v>948541</v>
      </c>
    </row>
    <row r="51" spans="1:13" ht="31" x14ac:dyDescent="0.35">
      <c r="A51" s="82">
        <v>45306</v>
      </c>
      <c r="H51" s="18" t="s">
        <v>188</v>
      </c>
      <c r="I51" s="14">
        <v>1901</v>
      </c>
      <c r="J51" s="14">
        <v>1919</v>
      </c>
      <c r="K51" s="14">
        <v>1878.5</v>
      </c>
      <c r="L51" s="14">
        <v>1905.5</v>
      </c>
      <c r="M51" s="19">
        <v>2698541</v>
      </c>
    </row>
    <row r="52" spans="1:13" ht="31" x14ac:dyDescent="0.35">
      <c r="A52" s="82">
        <v>45307</v>
      </c>
      <c r="H52" s="20" t="s">
        <v>189</v>
      </c>
      <c r="I52" s="15">
        <v>1882.5</v>
      </c>
      <c r="J52" s="15">
        <v>1903</v>
      </c>
      <c r="K52" s="15">
        <v>1882.5</v>
      </c>
      <c r="L52" s="15">
        <v>1884.5</v>
      </c>
      <c r="M52" s="21">
        <v>1088780</v>
      </c>
    </row>
    <row r="53" spans="1:13" ht="31" x14ac:dyDescent="0.35">
      <c r="A53" s="82">
        <v>45308</v>
      </c>
      <c r="H53" s="18" t="s">
        <v>190</v>
      </c>
      <c r="I53" s="14">
        <v>1883.5</v>
      </c>
      <c r="J53" s="14">
        <v>1889.5</v>
      </c>
      <c r="K53" s="14">
        <v>1858.5</v>
      </c>
      <c r="L53" s="14">
        <v>1888</v>
      </c>
      <c r="M53" s="19">
        <v>1673053</v>
      </c>
    </row>
    <row r="54" spans="1:13" ht="31" x14ac:dyDescent="0.35">
      <c r="A54" s="82">
        <v>45309</v>
      </c>
      <c r="H54" s="20" t="s">
        <v>191</v>
      </c>
      <c r="I54" s="15">
        <v>1931</v>
      </c>
      <c r="J54" s="15">
        <v>1938</v>
      </c>
      <c r="K54" s="15">
        <v>1884.5</v>
      </c>
      <c r="L54" s="15">
        <v>1891.5</v>
      </c>
      <c r="M54" s="21">
        <v>1005366</v>
      </c>
    </row>
    <row r="55" spans="1:13" ht="31" x14ac:dyDescent="0.35">
      <c r="A55" s="82">
        <v>45310</v>
      </c>
      <c r="H55" s="18" t="s">
        <v>192</v>
      </c>
      <c r="I55" s="14">
        <v>1910</v>
      </c>
      <c r="J55" s="14">
        <v>1958</v>
      </c>
      <c r="K55" s="14">
        <v>1906</v>
      </c>
      <c r="L55" s="14">
        <v>1940</v>
      </c>
      <c r="M55" s="19">
        <v>1954169</v>
      </c>
    </row>
    <row r="56" spans="1:13" ht="31" x14ac:dyDescent="0.35">
      <c r="A56" s="82">
        <v>45313</v>
      </c>
      <c r="H56" s="20" t="s">
        <v>193</v>
      </c>
      <c r="I56" s="15">
        <v>1915.5</v>
      </c>
      <c r="J56" s="15">
        <v>1917</v>
      </c>
      <c r="K56" s="15">
        <v>1888</v>
      </c>
      <c r="L56" s="15">
        <v>1911.5</v>
      </c>
      <c r="M56" s="21">
        <v>852483</v>
      </c>
    </row>
    <row r="57" spans="1:13" ht="31" x14ac:dyDescent="0.35">
      <c r="A57" s="82">
        <v>45314</v>
      </c>
      <c r="H57" s="18" t="s">
        <v>194</v>
      </c>
      <c r="I57" s="14">
        <v>1895.5</v>
      </c>
      <c r="J57" s="14">
        <v>1913</v>
      </c>
      <c r="K57" s="14">
        <v>1888.5</v>
      </c>
      <c r="L57" s="14">
        <v>1910</v>
      </c>
      <c r="M57" s="19">
        <v>2756203</v>
      </c>
    </row>
    <row r="58" spans="1:13" ht="31" x14ac:dyDescent="0.35">
      <c r="A58" s="82">
        <v>45315</v>
      </c>
      <c r="H58" s="20" t="s">
        <v>195</v>
      </c>
      <c r="I58" s="15">
        <v>1926.5</v>
      </c>
      <c r="J58" s="15">
        <v>1943.5</v>
      </c>
      <c r="K58" s="15">
        <v>1899.32</v>
      </c>
      <c r="L58" s="15">
        <v>1907.5</v>
      </c>
      <c r="M58" s="21">
        <v>1353535</v>
      </c>
    </row>
    <row r="59" spans="1:13" ht="31" x14ac:dyDescent="0.35">
      <c r="A59" s="82">
        <v>45316</v>
      </c>
      <c r="H59" s="18" t="s">
        <v>196</v>
      </c>
      <c r="I59" s="14">
        <v>1935</v>
      </c>
      <c r="J59" s="14">
        <v>1948</v>
      </c>
      <c r="K59" s="14">
        <v>1932</v>
      </c>
      <c r="L59" s="14">
        <v>1947.5</v>
      </c>
      <c r="M59" s="19">
        <v>1468017</v>
      </c>
    </row>
    <row r="60" spans="1:13" ht="31" x14ac:dyDescent="0.35">
      <c r="A60" s="82">
        <v>45317</v>
      </c>
      <c r="H60" s="20" t="s">
        <v>197</v>
      </c>
      <c r="I60" s="15">
        <v>1930</v>
      </c>
      <c r="J60" s="15">
        <v>1946</v>
      </c>
      <c r="K60" s="15">
        <v>1924.5</v>
      </c>
      <c r="L60" s="15">
        <v>1925.5</v>
      </c>
      <c r="M60" s="21">
        <v>2737171</v>
      </c>
    </row>
    <row r="61" spans="1:13" ht="31" x14ac:dyDescent="0.35">
      <c r="A61" s="82">
        <v>45320</v>
      </c>
      <c r="H61" s="18" t="s">
        <v>198</v>
      </c>
      <c r="I61" s="14">
        <v>1917.5</v>
      </c>
      <c r="J61" s="14">
        <v>1933</v>
      </c>
      <c r="K61" s="14">
        <v>1904</v>
      </c>
      <c r="L61" s="14">
        <v>1917</v>
      </c>
      <c r="M61" s="19">
        <v>1974785</v>
      </c>
    </row>
    <row r="62" spans="1:13" ht="31" x14ac:dyDescent="0.35">
      <c r="A62" s="82">
        <v>45321</v>
      </c>
      <c r="H62" s="20" t="s">
        <v>199</v>
      </c>
      <c r="I62" s="15">
        <v>1893</v>
      </c>
      <c r="J62" s="15">
        <v>1931.5</v>
      </c>
      <c r="K62" s="15">
        <v>1891.75</v>
      </c>
      <c r="L62" s="15">
        <v>1925.5</v>
      </c>
      <c r="M62" s="21">
        <v>1564881</v>
      </c>
    </row>
    <row r="63" spans="1:13" ht="31" x14ac:dyDescent="0.35">
      <c r="A63" s="82">
        <v>45322</v>
      </c>
      <c r="H63" s="18" t="s">
        <v>200</v>
      </c>
      <c r="I63" s="14">
        <v>1892</v>
      </c>
      <c r="J63" s="14">
        <v>1903.5</v>
      </c>
      <c r="K63" s="14">
        <v>1874.5</v>
      </c>
      <c r="L63" s="14">
        <v>1900</v>
      </c>
      <c r="M63" s="19">
        <v>723807</v>
      </c>
    </row>
    <row r="64" spans="1:13" ht="31" x14ac:dyDescent="0.35">
      <c r="A64" s="9"/>
      <c r="H64" s="20" t="s">
        <v>201</v>
      </c>
      <c r="I64" s="15">
        <v>1879.5</v>
      </c>
      <c r="J64" s="15">
        <v>1911</v>
      </c>
      <c r="K64" s="15">
        <v>1863.5</v>
      </c>
      <c r="L64" s="15">
        <v>1887</v>
      </c>
      <c r="M64" s="21">
        <v>3977399</v>
      </c>
    </row>
    <row r="65" spans="1:13" ht="31" x14ac:dyDescent="0.35">
      <c r="A65" s="9"/>
      <c r="H65" s="18" t="s">
        <v>202</v>
      </c>
      <c r="I65" s="14">
        <v>1926</v>
      </c>
      <c r="J65" s="14">
        <v>1930.23</v>
      </c>
      <c r="K65" s="14">
        <v>1884</v>
      </c>
      <c r="L65" s="14">
        <v>1892.5</v>
      </c>
      <c r="M65" s="19">
        <v>907337</v>
      </c>
    </row>
    <row r="66" spans="1:13" ht="31" x14ac:dyDescent="0.35">
      <c r="A66" s="9"/>
      <c r="H66" s="20" t="s">
        <v>203</v>
      </c>
      <c r="I66" s="15">
        <v>1966</v>
      </c>
      <c r="J66" s="15">
        <v>1974</v>
      </c>
      <c r="K66" s="15">
        <v>1937.5</v>
      </c>
      <c r="L66" s="15">
        <v>1949</v>
      </c>
      <c r="M66" s="21">
        <v>944852</v>
      </c>
    </row>
    <row r="67" spans="1:13" x14ac:dyDescent="0.35">
      <c r="A67" s="9"/>
    </row>
    <row r="68" spans="1:13" x14ac:dyDescent="0.35">
      <c r="A68" s="9"/>
    </row>
    <row r="69" spans="1:13" x14ac:dyDescent="0.35">
      <c r="A69" s="9"/>
    </row>
    <row r="70" spans="1:13" x14ac:dyDescent="0.35">
      <c r="A70" s="9"/>
    </row>
    <row r="71" spans="1:13" x14ac:dyDescent="0.35">
      <c r="A71" s="9"/>
    </row>
    <row r="72" spans="1:13" x14ac:dyDescent="0.35">
      <c r="A72" s="9"/>
    </row>
    <row r="73" spans="1:13" x14ac:dyDescent="0.35">
      <c r="A73" s="9"/>
    </row>
    <row r="74" spans="1:13" x14ac:dyDescent="0.35">
      <c r="A74" s="9"/>
    </row>
    <row r="75" spans="1:13" x14ac:dyDescent="0.35">
      <c r="A75" s="9"/>
    </row>
    <row r="76" spans="1:13" x14ac:dyDescent="0.35">
      <c r="A76" s="9"/>
    </row>
    <row r="77" spans="1:13" x14ac:dyDescent="0.35">
      <c r="A77" s="9"/>
    </row>
    <row r="78" spans="1:13" x14ac:dyDescent="0.35">
      <c r="A78" s="9"/>
    </row>
    <row r="79" spans="1:13" x14ac:dyDescent="0.35">
      <c r="A79" s="9"/>
    </row>
    <row r="80" spans="1:13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CE3D-90E5-4B85-AD20-7389912058DF}">
  <dimension ref="A2:E11"/>
  <sheetViews>
    <sheetView tabSelected="1" topLeftCell="A15" zoomScale="81" workbookViewId="0">
      <selection activeCell="G54" sqref="G54"/>
    </sheetView>
  </sheetViews>
  <sheetFormatPr defaultRowHeight="14.5" x14ac:dyDescent="0.35"/>
  <cols>
    <col min="1" max="1" width="32.36328125" customWidth="1"/>
    <col min="2" max="2" width="13.08984375" customWidth="1"/>
    <col min="3" max="3" width="0.1796875" customWidth="1"/>
    <col min="4" max="4" width="17.6328125" customWidth="1"/>
    <col min="5" max="5" width="15" customWidth="1"/>
  </cols>
  <sheetData>
    <row r="2" spans="1:5" x14ac:dyDescent="0.35">
      <c r="A2" s="54" t="s">
        <v>31</v>
      </c>
    </row>
    <row r="3" spans="1:5" x14ac:dyDescent="0.35">
      <c r="A3" s="50" t="s">
        <v>18</v>
      </c>
      <c r="B3" s="50"/>
      <c r="C3" s="13"/>
      <c r="D3" s="50" t="s">
        <v>26</v>
      </c>
      <c r="E3" s="51"/>
    </row>
    <row r="4" spans="1:5" x14ac:dyDescent="0.35">
      <c r="A4" s="52" t="s">
        <v>38</v>
      </c>
      <c r="B4" s="52">
        <v>0.37033889555904831</v>
      </c>
      <c r="C4" s="13"/>
      <c r="D4" s="52" t="s">
        <v>39</v>
      </c>
      <c r="E4" s="53">
        <f>(LN(B7/B8)+(B6+0.5*B4^2)*B5)/(B4*SQRT(B5))</f>
        <v>-0.36947951419231556</v>
      </c>
    </row>
    <row r="5" spans="1:5" x14ac:dyDescent="0.35">
      <c r="A5" s="52" t="s">
        <v>42</v>
      </c>
      <c r="B5" s="52">
        <v>0.25</v>
      </c>
      <c r="C5" s="13"/>
      <c r="D5" s="52" t="s">
        <v>43</v>
      </c>
      <c r="E5" s="53">
        <f>E4-B4*SQRT(B5)</f>
        <v>-0.55464896197183977</v>
      </c>
    </row>
    <row r="6" spans="1:5" x14ac:dyDescent="0.35">
      <c r="A6" s="52" t="s">
        <v>45</v>
      </c>
      <c r="B6" s="52">
        <v>3.9E-2</v>
      </c>
      <c r="C6" s="13"/>
      <c r="D6" s="52" t="s">
        <v>46</v>
      </c>
      <c r="E6" s="53">
        <f>NORMSDIST(E4)</f>
        <v>0.35588516997598807</v>
      </c>
    </row>
    <row r="7" spans="1:5" x14ac:dyDescent="0.35">
      <c r="A7" s="52" t="s">
        <v>48</v>
      </c>
      <c r="B7" s="52">
        <v>1988</v>
      </c>
      <c r="C7" s="13"/>
      <c r="D7" s="52" t="s">
        <v>49</v>
      </c>
      <c r="E7" s="53">
        <f>NORMSDIST(E5)</f>
        <v>0.28956739614185845</v>
      </c>
    </row>
    <row r="8" spans="1:5" x14ac:dyDescent="0.35">
      <c r="A8" s="52" t="s">
        <v>51</v>
      </c>
      <c r="B8" s="52">
        <v>2186.8000000000002</v>
      </c>
      <c r="C8" s="13"/>
      <c r="D8" s="48" t="s">
        <v>52</v>
      </c>
      <c r="E8" s="49">
        <f>B7*E6-B8*EXP(-B6*B5)*E7</f>
        <v>80.417688910760603</v>
      </c>
    </row>
    <row r="9" spans="1:5" x14ac:dyDescent="0.35">
      <c r="A9" s="52"/>
      <c r="B9" s="52"/>
      <c r="C9" s="13"/>
      <c r="D9" s="48" t="s">
        <v>54</v>
      </c>
      <c r="E9" s="49">
        <f>B8*EXP(-B6*B5)*(1-E7)-B7*(1-E6)</f>
        <v>257.99999326072111</v>
      </c>
    </row>
    <row r="10" spans="1:5" x14ac:dyDescent="0.35">
      <c r="A10" s="55"/>
      <c r="B10" s="55"/>
      <c r="C10" s="56"/>
      <c r="D10" s="56"/>
      <c r="E10" s="56"/>
    </row>
    <row r="11" spans="1:5" x14ac:dyDescent="0.35">
      <c r="A11" s="56"/>
      <c r="B11" s="56"/>
      <c r="C11" s="56"/>
      <c r="D11" s="56"/>
      <c r="E11" s="5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0189718D26D4BAD503A509C29B5DF" ma:contentTypeVersion="8" ma:contentTypeDescription="Create a new document." ma:contentTypeScope="" ma:versionID="9a46a18378e525d4c595df22c00fae16">
  <xsd:schema xmlns:xsd="http://www.w3.org/2001/XMLSchema" xmlns:xs="http://www.w3.org/2001/XMLSchema" xmlns:p="http://schemas.microsoft.com/office/2006/metadata/properties" xmlns:ns3="b43a0084-e9a4-4e58-acb6-d8740297f8a6" xmlns:ns4="c1a289de-cab2-45b1-8de9-40092aa70798" targetNamespace="http://schemas.microsoft.com/office/2006/metadata/properties" ma:root="true" ma:fieldsID="cd8566ecadc0c9ef720d69647bd02685" ns3:_="" ns4:_="">
    <xsd:import namespace="b43a0084-e9a4-4e58-acb6-d8740297f8a6"/>
    <xsd:import namespace="c1a289de-cab2-45b1-8de9-40092aa7079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a0084-e9a4-4e58-acb6-d8740297f8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289de-cab2-45b1-8de9-40092aa707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3a0084-e9a4-4e58-acb6-d8740297f8a6" xsi:nil="true"/>
  </documentManagement>
</p:properties>
</file>

<file path=customXml/itemProps1.xml><?xml version="1.0" encoding="utf-8"?>
<ds:datastoreItem xmlns:ds="http://schemas.openxmlformats.org/officeDocument/2006/customXml" ds:itemID="{EB5D0F76-EB85-4BC9-807D-F2FDCF5FD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3a0084-e9a4-4e58-acb6-d8740297f8a6"/>
    <ds:schemaRef ds:uri="c1a289de-cab2-45b1-8de9-40092aa707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F39111-D3A9-423C-9719-9BC606B0A4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548797-0AB8-4D06-87A8-738936264E7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b43a0084-e9a4-4e58-acb6-d8740297f8a6"/>
    <ds:schemaRef ds:uri="http://www.w3.org/XML/1998/namespace"/>
    <ds:schemaRef ds:uri="http://schemas.microsoft.com/office/infopath/2007/PartnerControls"/>
    <ds:schemaRef ds:uri="c1a289de-cab2-45b1-8de9-40092aa707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 B- E&amp;I and DDM</vt:lpstr>
      <vt:lpstr>Part B- PE </vt:lpstr>
      <vt:lpstr>Part C-Excel function</vt:lpstr>
      <vt:lpstr>Part C-Bond Duration </vt:lpstr>
      <vt:lpstr>Part D-options</vt:lpstr>
      <vt:lpstr>Part D-Options Maturity</vt:lpstr>
      <vt:lpstr>Part D-Goal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Karthick</dc:creator>
  <cp:lastModifiedBy>Limica Andrew Lopes 2023 (N1242167)</cp:lastModifiedBy>
  <dcterms:created xsi:type="dcterms:W3CDTF">2024-02-14T12:07:35Z</dcterms:created>
  <dcterms:modified xsi:type="dcterms:W3CDTF">2024-02-25T22:36:20Z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0x01010042E0189718D26D4BAD503A509C29B5DF</vt:lpwstr>
  </property>
</Properties>
</file>