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 sheetId="1" r:id="rId5"/>
    <sheet state="visible" name="Data" sheetId="2" r:id="rId6"/>
    <sheet state="visible" name="Exhibit - ADT Summary" sheetId="3" r:id="rId7"/>
    <sheet state="visible" name="Exhibit - Corrected Landis Repo" sheetId="4" r:id="rId8"/>
    <sheet state="visible" name="Exhibit - Inbound ADTs" sheetId="5" r:id="rId9"/>
    <sheet state="visible" name="Exhibit - Total ADTs" sheetId="6" r:id="rId10"/>
    <sheet state="visible" name="Exhibit - Feed to Clinker" sheetId="7" r:id="rId11"/>
    <sheet state="visible" name="Exhibit - Post Dowe Flats ADTs" sheetId="8" r:id="rId12"/>
    <sheet state="visible" name="Landis Flaws" sheetId="9" r:id="rId13"/>
    <sheet state="hidden" name="Data Dec18" sheetId="10" r:id="rId14"/>
    <sheet state="hidden" name="Volunteers" sheetId="11" r:id="rId15"/>
    <sheet state="visible" name="Issues List" sheetId="12" r:id="rId16"/>
    <sheet state="visible" name="Historical Data (Deprecated)" sheetId="13" r:id="rId17"/>
    <sheet state="visible" name="Misc" sheetId="14" r:id="rId18"/>
    <sheet state="visible" name="Quarries" sheetId="15" r:id="rId19"/>
    <sheet state="visible" name="Inbound Material Mode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tc={36b45d3d-3bc8-46c5-bc17-484e1944c3a0}</author>
    <author>tc={5529523e-c23a-4115-85aa-f18017a63d4e}</author>
    <author>tc={775dfb71-fed8-4925-9c8a-994294ac5e6f}</author>
    <author>tc={88d53f3c-0408-4e04-944a-69c73c0b701e}</author>
    <author>tc={8ab9fb43-ce9e-4abb-a596-6bd23ae31607}</author>
    <author>tc={bcaaf49a-b885-40e8-945d-b40decc0a0dc}</author>
    <author>tc={c3e410b8-d1e9-488a-b9ee-93f3b66bc776}</author>
    <author>tc={e37abf45-0f8b-4778-871b-24aa00abdad5}</author>
    <author>tc={fd333a48-c6e6-4a4f-a447-88ba57ab225a}</author>
  </authors>
  <commentList>
    <comment authorId="0" ref="M11">
      <text>
        <t xml:space="preserve">Partial data from Landis report Jan-April 2023 (4 months has 3938 outbound trucks) but also computed from the Amount of Clinker divided by Clinker Per Truck
</t>
      </text>
    </comment>
    <comment authorId="0" ref="C23">
      <text>
        <t xml:space="preserve">From CDPHE 12 Month period ending June 2012</t>
      </text>
    </comment>
    <comment authorId="0" ref="C22">
      <text>
        <t xml:space="preserve">360,763 tons</t>
      </text>
    </comment>
    <comment authorId="0" ref="C21">
      <text>
        <t xml:space="preserve">From CDPHE report, partial 2013 &amp; 2014
</t>
      </text>
    </comment>
    <comment authorId="0" ref="C20">
      <text>
        <t xml:space="preserve">CDPHE report of 341,377 tons for period ending July 2014</t>
      </text>
    </comment>
    <comment authorId="0" ref="K28">
      <text>
        <t xml:space="preserve">From Landis Report</t>
      </text>
    </comment>
    <comment authorId="0" ref="C19">
      <text>
        <t xml:space="preserve">12 month Period ending July 2016 was 274,469 tons</t>
      </text>
    </comment>
    <comment authorId="0" ref="C18">
      <text>
        <t xml:space="preserve">2017 Inspection report reports 316,058 tons for 12 month period ending March, 2017</t>
      </text>
    </comment>
    <comment authorId="0" ref="F51">
      <text>
        <t xml:space="preserve">Gypsum at 25,000 tons per yer</t>
      </text>
    </comment>
    <comment authorId="0" ref="C15">
      <text>
        <t xml:space="preserve">Reported clinker production of: 326,254 tons for rolling period of 12 months ending 4/30/2020</t>
      </text>
    </comment>
    <comment authorId="0" ref="F50">
      <text>
        <t xml:space="preserve">Gypsum at 25,000 tons per yer</t>
      </text>
    </comment>
    <comment authorId="0" ref="F49">
      <text>
        <t xml:space="preserve">Gypsum at 25,000 tons per yer</t>
      </text>
    </comment>
    <comment authorId="0" ref="F48">
      <text>
        <t xml:space="preserve">Gypsum at 25,000 tons per yer</t>
      </text>
    </comment>
    <comment authorId="0" ref="F47">
      <text>
        <t xml:space="preserve">Gypsum at 25,000 tons per yer</t>
      </text>
    </comment>
    <comment authorId="0" ref="F45">
      <text>
        <t xml:space="preserve">Gypsum at 25,000 tons per yer</t>
      </text>
    </comment>
    <comment authorId="0" ref="F44">
      <text>
        <t xml:space="preserve">Gypsum at 25,000 tons per yer</t>
      </text>
    </comment>
    <comment authorId="0" ref="I11">
      <text>
        <t xml:space="preserve">Landis Report Calculation
</t>
      </text>
    </comment>
    <comment authorId="1" xr:uid="{36b45d3d-3bc8-46c5-bc17-484e1944c3a0}" ref="C40">
      <text>
        <t xml:space="preserve">[Threaded comment]
 Your version of Excel allows you to read this threaded comment; however, any edits to it will get removed if the file is opened in a newer version of Excel. Learn more: https://go.microsoft.com/fwlink/?linkid=870924
Comment:
	The original value here is the clinker feed, not production.  The only production number I see is 125781 in the clinker storage section, which doesn't make sense for the kiln feed.
</t>
      </text>
    </comment>
    <comment authorId="2" xr:uid="{5529523e-c23a-4115-85aa-f18017a63d4e}" ref="C41">
      <text>
        <t xml:space="preserve">[Threaded comment]
 Your version of Excel allows you to read this threaded comment; however, any edits to it will get removed if the file is opened in a newer version of Excel. Learn more: https://go.microsoft.com/fwlink/?linkid=870924
Comment:
	3/18/1994 CDPHE report is confusing.  It says "Rock to Kiln (Clinker Production) 419,229." and "Product to Finish Mill (Cement Productino) 517,099".  Later in the report, it says "Kiln Feed Tons: 419,229" and "THRUPOT( Tons Clinker): 419,229". Be suspicious of this  data point
Reply:
	Yes, I agree.  I can't seem to find that 3/18/1994 CDPHE report - can you send me a link to it?
</t>
      </text>
    </comment>
    <comment authorId="3" xr:uid="{775dfb71-fed8-4925-9c8a-994294ac5e6f}" ref="C47">
      <text>
        <t xml:space="preserve">[Threaded comment]
 Your version of Excel allows you to read this threaded comment; however, any edits to it will get removed if the file is opened in a newer version of Excel. Learn more: https://go.microsoft.com/fwlink/?linkid=870924
Comment:
	CDPHE says 352161 tons concrete produced (1988 report for 1987)
</t>
      </text>
    </comment>
    <comment authorId="4" xr:uid="{88d53f3c-0408-4e04-944a-69c73c0b701e}" ref="C48">
      <text>
        <t xml:space="preserve">[Threaded comment]
 Your version of Excel allows you to read this threaded comment; however, any edits to it will get removed if the file is opened in a newer version of Excel. Learn more: https://go.microsoft.com/fwlink/?linkid=870924
Comment:
	1987 CDPHE report for 1986
</t>
      </text>
    </comment>
    <comment authorId="5" xr:uid="{8ab9fb43-ce9e-4abb-a596-6bd23ae31607}" ref="C39">
      <text>
        <t xml:space="preserve">[Threaded comment]
 Your version of Excel allows you to read this threaded comment; however, any edits to it will get removed if the file is opened in a newer version of Excel. Learn more: https://go.microsoft.com/fwlink/?linkid=870924
Comment:
	The value 425274 is a handwritten value.  Another location in the report notes a production of 455400 tons of clinker
</t>
      </text>
    </comment>
    <comment authorId="6" xr:uid="{bcaaf49a-b885-40e8-945d-b40decc0a0dc}" ref="F39">
      <text>
        <t xml:space="preserve">[Threaded comment]
 Your version of Excel allows you to read this threaded comment; however, any edits to it will get removed if the file is opened in a newer version of Excel. Learn more: https://go.microsoft.com/fwlink/?linkid=870924
Comment:
	From the 1106 CDPHE report: "A total of 684919 tons of material was mined from pits at the lyons facility in 1995. Some additional material was brought in from the larimer county pits. Pit C has about 18 months of limestone left to be mined than they will have to rely on Dowe Flatts"
</t>
      </text>
    </comment>
    <comment authorId="7" xr:uid="{c3e410b8-d1e9-488a-b9ee-93f3b66bc776}" ref="K29">
      <text>
        <t xml:space="preserve">[Threaded comment]
 Your version of Excel allows you to read this threaded comment; however, any edits to it will get removed if the file is opened in a newer version of Excel. Learn more: https://go.microsoft.com/fwlink/?linkid=870924
Comment:
	These values of "1000" inbound trucks are consistent with the average trucks in from 2006-2018 when it is understood that raw material for kiln is from Dowe flats
</t>
      </text>
    </comment>
    <comment authorId="8" xr:uid="{e37abf45-0f8b-4778-871b-24aa00abdad5}" ref="D40">
      <text>
        <t xml:space="preserve">[Threaded comment]
 Your version of Excel allows you to read this threaded comment; however, any edits to it will get removed if the file is opened in a newer version of Excel. Learn more: https://go.microsoft.com/fwlink/?linkid=870924
Comment:
	Original values of 748065 matches raw material sent to dryer/crusher, not the kiln feed.
Reply:
	Yes, the 1995 report regarding 1994 numbers is very strange. The kiln feed number looks to be more the magnitude of a typical clinker production number.  However, with the Larimer pit tonnage reported that year, it's entirely possible that it was a very low production year, which would mean a lot less truck traffic in 1994, the most important year to compare against.  Perhaps that's why Landis did not include 1994 data?
</t>
      </text>
    </comment>
    <comment authorId="9" xr:uid="{fd333a48-c6e6-4a4f-a447-88ba57ab225a}" ref="C36">
      <text>
        <t xml:space="preserve">[Threaded comment]
 Your version of Excel allows you to read this threaded comment; however, any edits to it will get removed if the file is opened in a newer version of Excel. Learn more: https://go.microsoft.com/fwlink/?linkid=870924
Comment:
	I don't see this value in the report.  I do see 155997 for the cement finish mill with a (518,399 ton/year) estimate, the estimate note "*The new Finish Mill OPerations began March 23, 1999. Numbers in (parenthesis) are estimate for a full year of production based on the first quarter."
Reply:
	@ymscott.wolf@gmail.com I found this document, which has a table of historical values:  https://drive.google.com/open?id=1VZrYsBQ5z0Ilb5E7q-zOCiv8sldXjtmV&amp;usp=drive_fs. I updated this quantity (503,192) to match the 1998 figure from the table.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1">
      <text>
        <t xml:space="preserve">Partial data from Landis report Jan-April 2023 (4 months has 3938 outbound trucks) but also computed from the Amount of Clinker divided by Clinker Per Truck
</t>
      </text>
    </comment>
    <comment authorId="0" ref="C23">
      <text>
        <t xml:space="preserve">From CDPHE</t>
      </text>
    </comment>
    <comment authorId="0" ref="F42">
      <text>
        <t xml:space="preserve">See Dowe Flats 1993 Traffic Estimates from Larimer Quarry (6,000 trips x 25 tons per trip)</t>
      </text>
    </comment>
    <comment authorId="0" ref="I11">
      <text>
        <t xml:space="preserve">Landis Report Calculation
</t>
      </text>
    </comment>
    <comment authorId="0" ref="C21">
      <text>
        <t xml:space="preserve">From CDPHE report, partial 2013 &amp; 2014
</t>
      </text>
    </comment>
    <comment authorId="0" ref="K28">
      <text>
        <t xml:space="preserve">From Landis Report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tc={966e17f8-15d4-400f-a75f-eee0d29cadba}</author>
    <author>tc={d3497fab-2e4b-4d9a-94d7-bca3f9397585}</author>
  </authors>
  <commentList>
    <comment authorId="0" xr:uid="{966e17f8-15d4-400f-a75f-eee0d29cadba}" ref="AA6">
      <text>
        <t xml:space="preserve">[Threaded comment]
 Your version of Excel allows you to read this threaded comment; however, any edits to it will get removed if the file is opened in a newer version of Excel. Learn more: https://go.microsoft.com/fwlink/?linkid=870924
Comment:
	This ratio seems way off
</t>
      </text>
    </comment>
    <comment authorId="1" xr:uid="{d3497fab-2e4b-4d9a-94d7-bca3f9397585}" ref="V6">
      <text>
        <t xml:space="preserve">[Threaded comment]
 Your version of Excel allows you to read this threaded comment; however, any edits to it will get removed if the file is opened in a newer version of Excel. Learn more: https://go.microsoft.com/fwlink/?linkid=870924
Comment:
	This seems like a strange jump
</t>
      </text>
    </comment>
  </commentList>
</comments>
</file>

<file path=xl/sharedStrings.xml><?xml version="1.0" encoding="utf-8"?>
<sst xmlns="http://schemas.openxmlformats.org/spreadsheetml/2006/main" count="680" uniqueCount="336">
  <si>
    <t>Landis Report</t>
  </si>
  <si>
    <t>Timeframe</t>
  </si>
  <si>
    <t>Material</t>
  </si>
  <si>
    <t>External or Local</t>
  </si>
  <si>
    <t>Transport Mode</t>
  </si>
  <si>
    <t>Vehicle Miles</t>
  </si>
  <si>
    <t>Avg Tons / Year</t>
  </si>
  <si>
    <t>Distance Miles</t>
  </si>
  <si>
    <t>Source</t>
  </si>
  <si>
    <t>Oct 1, 2022 to Present</t>
  </si>
  <si>
    <t>Limestone</t>
  </si>
  <si>
    <t>External (State/County Roads)</t>
  </si>
  <si>
    <t>25 Ton Highway Trucks</t>
  </si>
  <si>
    <t>Weaver Mine, Laramie Wyoming</t>
  </si>
  <si>
    <t>Shale</t>
  </si>
  <si>
    <t>Arcosa Lightweight, 11728 Highway 93, Boulder, CO</t>
  </si>
  <si>
    <t>Sep 18, 2018 to Sep 30, 2022</t>
  </si>
  <si>
    <t>External</t>
  </si>
  <si>
    <t>Local (Haul Roads)</t>
  </si>
  <si>
    <t>Conveyor</t>
  </si>
  <si>
    <t>N/A</t>
  </si>
  <si>
    <t>Dowe Flats Mine, crossing Highway 66</t>
  </si>
  <si>
    <t>August 18, 1997 to Sep 17, 2022</t>
  </si>
  <si>
    <t>LImestone</t>
  </si>
  <si>
    <t>January 1997 to August 18th, 1997</t>
  </si>
  <si>
    <t xml:space="preserve">85 Ton Haul Road Trucks </t>
  </si>
  <si>
    <t>Lyons Quarry (Pits A, B, C, D, E)</t>
  </si>
  <si>
    <t>[1993]  to January, 1997</t>
  </si>
  <si>
    <t>Larimer County Quarry</t>
  </si>
  <si>
    <t>[1969] to [1993]</t>
  </si>
  <si>
    <t>s</t>
  </si>
  <si>
    <t>Key Assumptions</t>
  </si>
  <si>
    <t>Intercept Value</t>
  </si>
  <si>
    <t>Significance</t>
  </si>
  <si>
    <t>Legend - Sources</t>
  </si>
  <si>
    <t>Computing Raw Materials from Clinker Production</t>
  </si>
  <si>
    <t>R^2 of 0.97 and p-value of 0.000</t>
  </si>
  <si>
    <t>Landis Report - Reported</t>
  </si>
  <si>
    <t>Historical Tons Per Inbound Truck (25 Ton Trucks)</t>
  </si>
  <si>
    <t>Landis Report - Calculated</t>
  </si>
  <si>
    <t>Historical Tons Per Outbound Truck (25 Ton Trucks)</t>
  </si>
  <si>
    <t>CDPHE - Reported Data</t>
  </si>
  <si>
    <t>Working Days Per Yeare for ADT (Average Daily Trips)</t>
  </si>
  <si>
    <t>Unknown Data</t>
  </si>
  <si>
    <t>CDOT Multiplier Factor for Heavy Trucks to ADTs using PCE (Passenger Car Equivalent)</t>
  </si>
  <si>
    <t>Good Neighbors - Calculated</t>
  </si>
  <si>
    <t>Roundtrip ADT Factor (Count Arrival &amp; Departure)</t>
  </si>
  <si>
    <t>Good Neighbors - Estimate</t>
  </si>
  <si>
    <t>Year</t>
  </si>
  <si>
    <t>Timeline of Key Events</t>
  </si>
  <si>
    <t>Clinker Production
(tons)</t>
  </si>
  <si>
    <t>Raw Material Kiln Feed 
(tons)</t>
  </si>
  <si>
    <t>Total ADTs -  Average Daily Trips
(Calculated)</t>
  </si>
  <si>
    <t>Trucked In Raw Material
(Larimer, Wyoming, Arcosa, Sandstone Mines)</t>
  </si>
  <si>
    <t>Conveyed or Hauled Raw Material 
(Dowe Flats or Lyons Quarry)</t>
  </si>
  <si>
    <t>Truck Volume 
(Inbound &amp; Outbound) - Landis</t>
  </si>
  <si>
    <t>Total Trucks 
(Inbound &amp; Outbound) - GNL</t>
  </si>
  <si>
    <t>Inbound Trucks 
(Raw Material)</t>
  </si>
  <si>
    <t>Inbound ADTs 
(Raw Material)</t>
  </si>
  <si>
    <t>Outbound Trucks 
(Finished Product)</t>
  </si>
  <si>
    <t>Outbound ADTs 
(Finished Product)</t>
  </si>
  <si>
    <t>ADT Change Compared to 1994
(When Noncomforing Use Came Into Effect)</t>
  </si>
  <si>
    <t>Clinker Tons Per Outbound Truck</t>
  </si>
  <si>
    <t>Tons Raw Material Per Inbound Truck</t>
  </si>
  <si>
    <t>CEMEX fined $357K for Air Quality violations for April 2020 to May 2021</t>
  </si>
  <si>
    <t>Calculated - Landis Report</t>
  </si>
  <si>
    <t>Dowe Flat Closes - September 30th, 2022</t>
  </si>
  <si>
    <t>Actuals - Landis Report</t>
  </si>
  <si>
    <t>CEMEX Acquires Weaver Mine in Wyoming - Sep 14, 2018</t>
  </si>
  <si>
    <t>CEMEX installs better polution equipment</t>
  </si>
  <si>
    <t>CEMEX settles with EPA for $1M &amp; Agreement to Install Better Pollution Controls</t>
  </si>
  <si>
    <t>CEMEX settles with State of Colorado for $600K and Air Quality Improvements</t>
  </si>
  <si>
    <t>Department of Justice and EPA Sue CEMEX for "Major Modifications" - $10M Expansion Project</t>
  </si>
  <si>
    <t>State of Colorado Files Action</t>
  </si>
  <si>
    <t>Missing</t>
  </si>
  <si>
    <t>Article in Cement Review about Expansion Project and New Oxygen Tanks</t>
  </si>
  <si>
    <t>$10M Plant Expansion Project Ongoing; CEMEX Acquires Facility from Southdown</t>
  </si>
  <si>
    <t>$10M Plant Expansion Project Ongoing</t>
  </si>
  <si>
    <t>$10M Plant Expansion Project Begins</t>
  </si>
  <si>
    <t>Dowe Flats Starts Producing Material and Transports via Conveyor over Highway 66</t>
  </si>
  <si>
    <t>Larimer Pits last shipment Jan 1997</t>
  </si>
  <si>
    <t>CEMEX Lyons becomes a Nonconforming Use as 
Boulder County Land Use Code is Adopted - October 18th, 1994</t>
  </si>
  <si>
    <t>Lyons Quarry, Pit E, South of Hygiene Road, Ceases Operation - July 1993
Dowe Flats Application Begins</t>
  </si>
  <si>
    <t>Summary ADT Information</t>
  </si>
  <si>
    <t>ADTs (Inbound + Outbound)</t>
  </si>
  <si>
    <t>Raw Material ADTs (Inbound)</t>
  </si>
  <si>
    <t>Finished Product ADTs (Outbound)</t>
  </si>
  <si>
    <t>Average ADTs from 1983 to 1993 (Lyons Quarry Primary Source)</t>
  </si>
  <si>
    <t>ADTs in 1994 @ time of Nonconforming Use</t>
  </si>
  <si>
    <t>Average ADTs from 1994 to 2018  (Since Nonconforming Use - 25 years)</t>
  </si>
  <si>
    <t>Average ADTs from 2009 to 2018 (10 years)</t>
  </si>
  <si>
    <t>Average ADTs from 2019 to 2022 (Trucking from Wyoming)</t>
  </si>
  <si>
    <t>Average ADTs in 2023 (through April)</t>
  </si>
  <si>
    <t>Average ADTs from Oct to April 2023 (Since Dowe Flats Closure)</t>
  </si>
  <si>
    <t>Average Increase (Decrease) in 2023 ADTs vs 1983-1993</t>
  </si>
  <si>
    <t>Average Increase (Decrease) in 2023 ADTs vs 1994</t>
  </si>
  <si>
    <t>Average Increase (Decrease) in 2023 ADTs vs 1994-2018</t>
  </si>
  <si>
    <t>Average Increase (Decrease) in 2023 ADTs vs 2009-2018</t>
  </si>
  <si>
    <t>Average Increase (Decrease) in Post Dowe Flats ADTs vs 1983-1993</t>
  </si>
  <si>
    <t>Average Increase (Decrease) in Post Dowe Flats ADTs vs 1994</t>
  </si>
  <si>
    <t>Average Increase (Decrease) in Post Dowe Flats ADTs vs 1994-2018</t>
  </si>
  <si>
    <t>Average Increase (Decrease) in Post Dowe Flats ADTs vs 2009-2018</t>
  </si>
  <si>
    <t>EXHIBIT [X] - Landis Appendix B with Correct Arithmetic Applied</t>
  </si>
  <si>
    <t>Truck Volumes</t>
  </si>
  <si>
    <t>Workdays Per Year</t>
  </si>
  <si>
    <t>Average Daily Traffic</t>
  </si>
  <si>
    <t>As Reported ADTs (Passenger Car Equivalent)</t>
  </si>
  <si>
    <t>Corrected Average Daily Traffic Calculations</t>
  </si>
  <si>
    <t>Corrected ADTs (Passenger Car Equivalent)</t>
  </si>
  <si>
    <t>CEMEX Overstatement / (Understatement) of ADTs</t>
  </si>
  <si>
    <t>Truck Volume Numbers from CEMEX</t>
  </si>
  <si>
    <t>Calculated with Regression Equation</t>
  </si>
  <si>
    <t>EXHIBIT [X] - CEMEX - As Repoted Inbound Raw Material ADTs</t>
  </si>
  <si>
    <t>Inbound 
Truck Volumes</t>
  </si>
  <si>
    <t>Average Daily Truck Volume</t>
  </si>
  <si>
    <t>ADTs (Passenger Car Equivalent)</t>
  </si>
  <si>
    <t>Median ADTs from 2009-2023</t>
  </si>
  <si>
    <t>2023 (through April)</t>
  </si>
  <si>
    <t>EXHIBIT [X] - CEMEX - As Reported Total ADTs</t>
  </si>
  <si>
    <t>Outbound Truck Volumes</t>
  </si>
  <si>
    <t>Average Inbound Daily Truck Volume</t>
  </si>
  <si>
    <t>Inbound ADTs (Passenger Car Equivalent)</t>
  </si>
  <si>
    <t>Median Inbound ADTs from 2006-2023</t>
  </si>
  <si>
    <t>Average Outbound Daily Truck Volume</t>
  </si>
  <si>
    <t>Outbound ADTs (Passenger Car Equivalent)</t>
  </si>
  <si>
    <t>Median Outbound ADTs from 2006-2023</t>
  </si>
  <si>
    <t>Total ADTs</t>
  </si>
  <si>
    <t>Median ADTs from 2009 to 2023)</t>
  </si>
  <si>
    <t>Feed Tons Per Year</t>
  </si>
  <si>
    <t>Clinker Tons Per Year</t>
  </si>
  <si>
    <t>Calculated Truck Volumes</t>
  </si>
  <si>
    <t>Calculated Total ADTs</t>
  </si>
  <si>
    <t>As Reported by CEMEX from CDPHE Inspection Reports</t>
  </si>
  <si>
    <t>Calculated By Regression Equation</t>
  </si>
  <si>
    <t>Landis Clinker Production and Annual Volumes</t>
  </si>
  <si>
    <t>Clinker Production (tons)</t>
  </si>
  <si>
    <t>Truck Volume</t>
  </si>
  <si>
    <t>Workdays Per Month</t>
  </si>
  <si>
    <t>Truck Volume Numbers from CEMEX after the closure of Dowe Flats</t>
  </si>
  <si>
    <t>Averages</t>
  </si>
  <si>
    <t>Instructions:  Please log errors &amp; Flaws with the Landis Report.  No matter how big or small, it all is relevant.</t>
  </si>
  <si>
    <t>Identified By</t>
  </si>
  <si>
    <t>Flaw Description</t>
  </si>
  <si>
    <t>Scott Wolf</t>
  </si>
  <si>
    <r>
      <rPr>
        <rFont val="Arial"/>
        <color theme="1"/>
      </rPr>
      <t xml:space="preserve">Appendix B (pg 28 in Landis Report) - the math is wrong.  For example, in 2023:  20,106 truck trips divided by 251 working days is 80, </t>
    </r>
    <r>
      <rPr>
        <rFont val="Arial"/>
        <b/>
        <color theme="1"/>
      </rPr>
      <t>not</t>
    </r>
    <r>
      <rPr>
        <rFont val="Arial"/>
        <color theme="1"/>
      </rPr>
      <t xml:space="preserve"> 67.  Every row is calculated incorrectly.</t>
    </r>
  </si>
  <si>
    <t>Figure 8:  Inappropriately mixing the units on the graph and misleading at best.  CDOT traffic is truck trips (blue dots) whereas the daily trucks (orange trips) are roundtrips and thus understated, and should be scaled by at least 2X</t>
  </si>
  <si>
    <r>
      <rPr>
        <rFont val="Arial"/>
        <color theme="1"/>
      </rPr>
      <t xml:space="preserve">Appendix C:  
  </t>
    </r>
    <r>
      <rPr>
        <rFont val="Arial"/>
        <strike/>
        <color theme="1"/>
      </rPr>
      <t>1) Route 066B marker 28.693 to marker 32.585 is HWY66 &amp; HWY36 station.  Seems like the wrong one for trucks coming from Wyoming.</t>
    </r>
    <r>
      <rPr>
        <rFont val="Arial"/>
        <color theme="1"/>
      </rPr>
      <t xml:space="preserve">
 2) ADDTRUCKS is all trucks.  This includes 2 axel trucks (such as RVs and pickup trucks with dual rear wheels, but not "normal" pickups),  as well as tractor+trailer "trucks".  It is not strictly the count of a 3+ axel tractor+side dump that Cemex uses, which is reported separately.
</t>
    </r>
  </si>
  <si>
    <t>CDOT Traffic data from OTIS used in the report is not a good indicator of Cemex traffic. Per correspondence with CDOT, "Short duraction" stations (which the station Landis used) is typically collected over a few days every 3 years.  It is located "somewhere" along the segment.  As such, this may not be reflecting traffic from Wyo (and given the graphic, probably not).  For all of the attacks used by Landis against the Stantec report, the same and more can be said of the OTIS data.</t>
  </si>
  <si>
    <t>Graphed data points from "Figure 3 Ten Year Comparative Daily Truck Volumes, Pre 1994 and Pre 2024" previous to 1995 do not match "Figure 8 Daily Truck Volumes on Ute Hwy/SH 66" and associated data table "APPENDIX B - ANNUAL AND DAILY CEMEX TRUCK VOLUMES".  Other ranges may be incorrect.  For example 1990 data point on Figure 3 is approximate 100.  On figure 8 it is well under 100, and appendix B has the value as 87.  (It should be 100... as 25191 / 251 == 100, not 87).</t>
  </si>
  <si>
    <t>Judy Koslov</t>
  </si>
  <si>
    <t>A rule of regression modeling is not to estimate outside the range of the data. Note that the clinker production in the years 1983, 1984, 1985, 1992 and 1993, which was used to
estimate Annual Truck Volume for those years, exceeded the largest data value in the model.
Given the gap of more than twenty years between the years in the regression model and the
years whose truck volume was estimated, not to mention the upgrade to the kiln, how
believable are the calculated values of Table 2?</t>
  </si>
  <si>
    <t>Since the report is dated 11/5/2024, real 2023 truck counts (and half year 2024 truck counts too) should be used rather than a
calculated value.</t>
  </si>
  <si>
    <t>Bart Lorang</t>
  </si>
  <si>
    <t>Boulder County's standard is ADTs - Average Daily Trips in PCEs (Passenger Car Equivalents) which is Boulder County and CDOT standard.  A trip into the plant, and a trip out of the plant is 2 trips.  A heavy truck is worth 3 Passenger Car Equivalents.  So one roundtrip truck trip is worth 6 ADTs per Boulder County standards.   Landis Report does not normalize its data to ADTs.</t>
  </si>
  <si>
    <t>Plant became nonconforming October 18, 1994, but 1994 is completely omitted from the report.</t>
  </si>
  <si>
    <t>Inappropriate to create a regresssion equation based solely on clinker;  truck volume is based on clinker produced (a proxy for finished product shiipped) *and* raw materials trucked into the plant.</t>
  </si>
  <si>
    <t>Question:  Figure 2 on page 9 shows four datapoints that the authors claim are comparable to
those from before 1994, since rail transport of finished product ended before 2019. These
datapoints correspond to the years of the COVID epidemic, so are they representative of
CEMEX’s continuing operation in 2023 and 2024?</t>
  </si>
  <si>
    <t>Question: Where are the clinker production data for 1986, 1988, and 1991? Three of eleven
years used to establish the comparison are missing.</t>
  </si>
  <si>
    <t>Flatly untrue report statement and assumption: “the years 2019 to 2022...match the Plant’s raw materials supply and
product distribution modes of transportation of the pre-1994 timeframe.”  - Dowe Flats + Wyoming (2019-2022) is not equivalent to limited quantities from Larimer County + Lyons Quarry (1994)</t>
  </si>
  <si>
    <t>Kit Fuller</t>
  </si>
  <si>
    <t>Figure 2:  Inappropriate to draw a line between 1983-1993 data and 2013-2023 clustered data</t>
  </si>
  <si>
    <t>Figure 2:  Inappropriate to not label 2023 data points or 1983-1993 data points as "calculated" (they are all Orange) which is misleading.</t>
  </si>
  <si>
    <t>While the report tries to position "percentages of trucks going down" as a good fact, in fact, increased car and bicycle traffic has increased since 1994 make the issue of increased truck traffic from this non-conforming use all the more hazardous.</t>
  </si>
  <si>
    <t>Comparing recent traffic data to data before 1994 should be thrown out because when the property was reclassified as a non-conforming use, the County insisted on the conveyor system to reduce truck traffic. In 1994, therefore, the rules regarding truck traffic changed, and any increase in traffic after 1994 would be cause for termination of the non-conforming use.</t>
  </si>
  <si>
    <t>There is no validation or verification of 1983-1993 truck volumes against actual data</t>
  </si>
  <si>
    <t>For 1993, Landis regression equation computes 30.716 truck volume, CDPHE 1994 inspection report indicates a total of 183,653 tons of material from Larimer Pit offsite and all remaining material comes locally from Lyons Quarryfacility.  Landis report 419,230 tons of clinker (product shipped), which equates to 602,883 tons of material in and out of the site, which would be only 19.6 tons per truck. This doesn't match the 2019-2022 ratios of 25 tons per truck.  One must question the validity of the regression equation applied to 1983-1993 conditions.  --Scott Wolf note: the older CDPHE reports have notes/caveats that production of clinker or cement may have more or less production compared to raw material (not kiln feed) as material from a previous year can be used to increase production.</t>
  </si>
  <si>
    <t>Jim Franklin</t>
  </si>
  <si>
    <t>The numbers from the Landis report are imputed figures that don't match the lived experience of nearby citizens and common sense.</t>
  </si>
  <si>
    <t xml:space="preserve">The conveyor, Dowe Flats, etc were all put in place to reduce inbound trucking.  When it goes away, trucking goes up - </t>
  </si>
  <si>
    <t>Stantec study - June 2023 Logs Equal 1283 ADTs - this is incontravertible - represents a large spike, and ignored by Landis Report</t>
  </si>
  <si>
    <t>Report claims that Conveyor did not become operational in 1994.  Conveyor became Operational in August, 1997</t>
  </si>
  <si>
    <t>ADTs in 1994 - Baseline @ Nonconforming Use</t>
  </si>
  <si>
    <t>Historical Tons Per Inbound Truck (30 Ton Trucks)</t>
  </si>
  <si>
    <t>Average ADTs from 1994 to 2018 - Since Nonconforming Use</t>
  </si>
  <si>
    <t>Historical Tons Per Outbound Truck (30 Ton Truks)</t>
  </si>
  <si>
    <t>ADTs from 2019 to 2022</t>
  </si>
  <si>
    <t>ADTs in 2023</t>
  </si>
  <si>
    <t>CDOT Multiplier Factor for Heavy Trucks to ADTs</t>
  </si>
  <si>
    <t>Average Increase/Decrease in 2023 ADTs vs Baseline</t>
  </si>
  <si>
    <t>Name</t>
  </si>
  <si>
    <t>Email</t>
  </si>
  <si>
    <t>Background</t>
  </si>
  <si>
    <t>lorangb@gmail.com</t>
  </si>
  <si>
    <t>Deep Diving on CEMEX Issues for 3 years, understand the history.   Colorado State "Mathlete" in High School, Engineering Degree (Computer Science)</t>
  </si>
  <si>
    <t>Sarah Lorang</t>
  </si>
  <si>
    <t>sarah@goodneighborslyons.com</t>
  </si>
  <si>
    <t>Good Neighbors Leader</t>
  </si>
  <si>
    <t>James Silvestro</t>
  </si>
  <si>
    <t>jsilvestro@irelandstapleton.com</t>
  </si>
  <si>
    <t>Ireland &amp; Stapleton Land Use Attorney, Victories in Boulder County against Martin Marietta in the St Vrain Valley</t>
  </si>
  <si>
    <t>fullerhkit@yahoo.com</t>
  </si>
  <si>
    <t>Website Traffic Analysis</t>
  </si>
  <si>
    <t>Lenson Pellouchoud</t>
  </si>
  <si>
    <t>lensonp@gmail.com</t>
  </si>
  <si>
    <t>PhD in Materials Engineering, Family in Lyons</t>
  </si>
  <si>
    <t>Molly Hardman</t>
  </si>
  <si>
    <t>w0mom.molly@gmail.com</t>
  </si>
  <si>
    <t>Lives nearby and is a scientist at CU</t>
  </si>
  <si>
    <t>judykoslov@gmail.com</t>
  </si>
  <si>
    <t>Was involved in St Vrain Watch Dogs</t>
  </si>
  <si>
    <t>Debbie Scott</t>
  </si>
  <si>
    <t>dscott@townoflyons.com</t>
  </si>
  <si>
    <t>Former CDOT project manager &amp; Engineer</t>
  </si>
  <si>
    <t>Fred Annexstein</t>
  </si>
  <si>
    <t>fannexstein@gmail.com</t>
  </si>
  <si>
    <t>PhD in Computer Science, Volunteered Son-In Law, Jake Holdern who is a research in traffic and energy modeling at NREL</t>
  </si>
  <si>
    <t>jim.h.franklin@gmail.com</t>
  </si>
  <si>
    <t>JD/MBA - EIR for Master Program at School of Mines</t>
  </si>
  <si>
    <t>Stephen Dalton</t>
  </si>
  <si>
    <t>stephen.g.dalton@gmail.com</t>
  </si>
  <si>
    <t>Father is retired civil engineer who worked for big transporation firms in NYC</t>
  </si>
  <si>
    <t>Yoav Lurie</t>
  </si>
  <si>
    <t>yoavlurie@gmail.com</t>
  </si>
  <si>
    <t>Roommate is a professional traffic engineer, not licensed in CO but take a look</t>
  </si>
  <si>
    <t>Mike Cubison</t>
  </si>
  <si>
    <t>mike.cubison@gmail.com</t>
  </si>
  <si>
    <t>ymscott.wolf@gmail.com</t>
  </si>
  <si>
    <t>Crunching data and drawing observations</t>
  </si>
  <si>
    <t>Issue #</t>
  </si>
  <si>
    <t>Status</t>
  </si>
  <si>
    <t>Who Owns</t>
  </si>
  <si>
    <t>Type</t>
  </si>
  <si>
    <t>Done</t>
  </si>
  <si>
    <t>Research &amp; Analysis</t>
  </si>
  <si>
    <t>Compile an Initial data archive from the various records</t>
  </si>
  <si>
    <t>Research</t>
  </si>
  <si>
    <t>Compile all of CEMEX officials statements from 2022 hearings warning the community that traffic would increase</t>
  </si>
  <si>
    <t>Legal</t>
  </si>
  <si>
    <t>Craft the Legal Letter and Argument to Boulder County</t>
  </si>
  <si>
    <t>Fill in all the gaps in the data back to 1993 (or earlier) and check Bart's data compilation - make sure we have the underlying facts correct!</t>
  </si>
  <si>
    <t>In Progress</t>
  </si>
  <si>
    <t>Instances where Landis data is suspect or inconsistent with CDPHE data</t>
  </si>
  <si>
    <t>Find out the 2023 and 2024 Trucking and Actual figures that CEMEX is withholding (CDPHE engaged in another compliance matter? CORA request?)</t>
  </si>
  <si>
    <t>Mike Cubison &amp; Scott Wolf</t>
  </si>
  <si>
    <t>Mathematics</t>
  </si>
  <si>
    <t>Develop our own regression equation(s) to compute truck traffic that are superior to the "N=4" regression equation developed by Landis</t>
  </si>
  <si>
    <t xml:space="preserve">Examine the CDOT data in the Landis report and cross check against other data sources </t>
  </si>
  <si>
    <t>Logic</t>
  </si>
  <si>
    <t>Find anomalies in the Landis data and/or calculations</t>
  </si>
  <si>
    <t>Demonstrate that the 2023 'Calculations' are inappropriate to use given the operational changes in 1994, 1997, 2018 &amp; 2022</t>
  </si>
  <si>
    <t>Narrative &amp; Writing</t>
  </si>
  <si>
    <t>Visually illustrate 40 years worth of information in a simple, accessible way that tells the story</t>
  </si>
  <si>
    <t>Bart (authoring) Kit (editing)</t>
  </si>
  <si>
    <t>Develop a formal Engineering report to accompany our conclusion</t>
  </si>
  <si>
    <t>Scott</t>
  </si>
  <si>
    <t>Synthesis</t>
  </si>
  <si>
    <t>Compile all the reasons that the Landis report is flawed statistically and/or logically, developed to present a favorable conclusion for their client</t>
  </si>
  <si>
    <t>All</t>
  </si>
  <si>
    <t>Execute</t>
  </si>
  <si>
    <t>Sign the report by Citizens with equivalent (or superior) credentials, refuting Landis report</t>
  </si>
  <si>
    <t>Get railroad traffic data re: CEMEX Lyons dating back to 1983 (e.g. how many cars and tons were shipped in and out)</t>
  </si>
  <si>
    <t>Error Analysis &amp; Sensitivity Study</t>
  </si>
  <si>
    <t>Mike Cubison &amp; Scott</t>
  </si>
  <si>
    <t>CDOT Raw Data - Relationship Between It and Reported Truck Traffic</t>
  </si>
  <si>
    <t>Stockpile Data - Wyoming Mine, CEMEX Lyons Facility - How to gather?</t>
  </si>
  <si>
    <t>Obtain and Analyze CDOT Crash Data for Plant Entrance to Arcosa Mine in JeffCo and to Weaver Mine in Laramie, WY</t>
  </si>
  <si>
    <t>Bart</t>
  </si>
  <si>
    <t xml:space="preserve">Visual Maps of Traffic Routes over the years </t>
  </si>
  <si>
    <t>Operating Permit</t>
  </si>
  <si>
    <t>95OPBO082</t>
  </si>
  <si>
    <t>Tons Per Truck</t>
  </si>
  <si>
    <t>Transport from Weaver to Colorado</t>
  </si>
  <si>
    <t>TransPro Burgener</t>
  </si>
  <si>
    <t>Airs ID</t>
  </si>
  <si>
    <t>013-0003</t>
  </si>
  <si>
    <t>Avg Ratio</t>
  </si>
  <si>
    <t>Gallons Per Diesel Truck</t>
  </si>
  <si>
    <t>Outbound</t>
  </si>
  <si>
    <t>Inbound</t>
  </si>
  <si>
    <t>Pre Expansion ('97) Capacity</t>
  </si>
  <si>
    <t>Post Expansion ('98) Capacity</t>
  </si>
  <si>
    <t>NOX tpy</t>
  </si>
  <si>
    <t>Feed tpy (P007)</t>
  </si>
  <si>
    <t>Coal tons</t>
  </si>
  <si>
    <t>lbs NOX / ton feed</t>
  </si>
  <si>
    <t>Ratio (Feed: Landis Clinker)</t>
  </si>
  <si>
    <t>Landis Report (Clinker)</t>
  </si>
  <si>
    <t>Landis Report (Truck Vol)</t>
  </si>
  <si>
    <t>Clinker tpy (P008)</t>
  </si>
  <si>
    <t>Cement produced (P012)</t>
  </si>
  <si>
    <t>Feed/Clinker</t>
  </si>
  <si>
    <t>Feed/Cement</t>
  </si>
  <si>
    <t>Operating Hours</t>
  </si>
  <si>
    <t>Compliance?</t>
  </si>
  <si>
    <t># of Trucks Based on Std Weight</t>
  </si>
  <si>
    <t>Inbound Trucks / Day</t>
  </si>
  <si>
    <t># of Trucks Inbound</t>
  </si>
  <si>
    <t>Tons per Truck (Inbound)</t>
  </si>
  <si>
    <t># of Trucks Outbound</t>
  </si>
  <si>
    <t>Tons Per Truck (Outbound)</t>
  </si>
  <si>
    <t>Cement</t>
  </si>
  <si>
    <t>CKD</t>
  </si>
  <si>
    <t>WYO Records</t>
  </si>
  <si>
    <t>Ratio</t>
  </si>
  <si>
    <t>Bauxite</t>
  </si>
  <si>
    <t>Calcium Chloride</t>
  </si>
  <si>
    <t>Ammonimum</t>
  </si>
  <si>
    <t>Diesel</t>
  </si>
  <si>
    <t>Gypsum</t>
  </si>
  <si>
    <t>Sandstone</t>
  </si>
  <si>
    <t>Total Inbound</t>
  </si>
  <si>
    <t>Total Outbound</t>
  </si>
  <si>
    <t>Total Trucks Inbound Or Outbound</t>
  </si>
  <si>
    <t>Per Day</t>
  </si>
  <si>
    <t>N</t>
  </si>
  <si>
    <t>July '14 to July '15</t>
  </si>
  <si>
    <t>Part of '13 and '14</t>
  </si>
  <si>
    <t>-</t>
  </si>
  <si>
    <t>CDPHE Operating Permit</t>
  </si>
  <si>
    <t>C-12,444</t>
  </si>
  <si>
    <t>C-12,44-1</t>
  </si>
  <si>
    <t>CDPHE AIRS ID</t>
  </si>
  <si>
    <t>013-0095</t>
  </si>
  <si>
    <t>Southwestern Portland Cement</t>
  </si>
  <si>
    <t>013-0314</t>
  </si>
  <si>
    <t>Martin Marietta Mtrls - Lyons Pit</t>
  </si>
  <si>
    <t>Formulas</t>
  </si>
  <si>
    <t>Tons Per Inbound Truck</t>
  </si>
  <si>
    <t>Tons Inbound Material Divided by # of Inbound Trucks</t>
  </si>
  <si>
    <t>Landis Regression Equation (Estimated)</t>
  </si>
  <si>
    <t>y=0.08x−3426.98</t>
  </si>
  <si>
    <t>Computing Raw Materials</t>
  </si>
  <si>
    <t>Q("Raw Material Kiln Feed -Tons") = 7,678+ 1.6103 * Clinker Production Tons</t>
  </si>
  <si>
    <t>Source Documentation</t>
  </si>
  <si>
    <t>25-30 Ton Highway Trucks</t>
  </si>
  <si>
    <t>Dowe Flats Review 1997</t>
  </si>
  <si>
    <t>Dowe Flats 20 Year Review</t>
  </si>
  <si>
    <t xml:space="preserve">75-100 Ton Haul Road Trucks </t>
  </si>
  <si>
    <t>1993  to January, 1997</t>
  </si>
  <si>
    <t>Dowe Flats 1993 Special Use Application</t>
  </si>
  <si>
    <t>Dowe Flats Traffic Impact Analysis</t>
  </si>
  <si>
    <t>To-Dos</t>
  </si>
  <si>
    <t xml:space="preserve">  * Identify Sources and Quantities of Gypsum</t>
  </si>
  <si>
    <t xml:space="preserve">  * Identify Sources &amp; Quantities of Silica</t>
  </si>
  <si>
    <t xml:space="preserve">  * Identify Start Dates of Usage of Larimer County Quarry [1993] - it was only a 5 acre quarry, so the lifetime tonnage can't be that high</t>
  </si>
  <si>
    <t xml:space="preserve">  * Compute Avg Tons/Year</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</si>
</sst>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0.000"/>
    <numFmt numFmtId="166" formatCode="0.0000"/>
    <numFmt numFmtId="167" formatCode="#,##0;(#,##0)"/>
    <numFmt numFmtId="168" formatCode="yyyy - mmmm"/>
    <numFmt numFmtId="169" formatCode="yyyy- mmmm"/>
    <numFmt numFmtId="170" formatCode="#,##0.000"/>
    <numFmt numFmtId="171" formatCode="0.00000"/>
  </numFmts>
  <fonts count="27">
    <font>
      <sz val="10.0"/>
      <color rgb="FF000000"/>
      <name val="Arial"/>
      <scheme val="minor"/>
    </font>
    <font>
      <b/>
      <color theme="1"/>
      <name val="Arial"/>
      <scheme val="minor"/>
    </font>
    <font>
      <color theme="1"/>
      <name val="Arial"/>
      <scheme val="minor"/>
    </font>
    <font>
      <color rgb="FF38761D"/>
      <name val="Arial"/>
      <scheme val="minor"/>
    </font>
    <font>
      <color rgb="FF0000FF"/>
      <name val="Arial"/>
      <scheme val="minor"/>
    </font>
    <font>
      <color rgb="FFFF0000"/>
      <name val="Arial"/>
      <scheme val="minor"/>
    </font>
    <font>
      <color rgb="FF000000"/>
      <name val="Arial"/>
      <scheme val="minor"/>
    </font>
    <font>
      <i/>
      <color theme="1"/>
      <name val="Arial"/>
      <scheme val="minor"/>
    </font>
    <font>
      <color rgb="FF6AA84F"/>
      <name val="Arial"/>
      <scheme val="minor"/>
    </font>
    <font>
      <u/>
      <color rgb="FF0000FF"/>
    </font>
    <font>
      <b/>
      <u/>
      <color theme="1"/>
      <name val="Arial"/>
      <scheme val="minor"/>
    </font>
    <font>
      <b/>
      <color rgb="FFFF0000"/>
      <name val="Arial"/>
      <scheme val="minor"/>
    </font>
    <font>
      <b/>
      <color rgb="FF38761D"/>
      <name val="Arial"/>
      <scheme val="minor"/>
    </font>
    <font/>
    <font>
      <b/>
      <color rgb="FF000000"/>
      <name val="Arial"/>
      <scheme val="minor"/>
    </font>
    <font>
      <b/>
      <color rgb="FF0000FF"/>
      <name val="Arial"/>
      <scheme val="minor"/>
    </font>
    <font>
      <b/>
      <i/>
      <color theme="1"/>
      <name val="Arial"/>
      <scheme val="minor"/>
    </font>
    <font>
      <b/>
      <u/>
      <color theme="1"/>
      <name val="Arial"/>
      <scheme val="minor"/>
    </font>
    <font>
      <b/>
      <u/>
      <color theme="1"/>
      <name val="Arial"/>
      <scheme val="minor"/>
    </font>
    <font>
      <b/>
      <u/>
      <color theme="1"/>
      <name val="Arial"/>
      <scheme val="minor"/>
    </font>
    <font>
      <sz val="8.0"/>
      <color theme="1"/>
      <name val="&quot;CIDFont+F2&quot;"/>
    </font>
    <font>
      <color rgb="FF93C47D"/>
      <name val="Arial"/>
      <scheme val="minor"/>
    </font>
    <font>
      <color rgb="FFB6D7A8"/>
      <name val="Arial"/>
      <scheme val="minor"/>
    </font>
    <font>
      <sz val="12.0"/>
      <color theme="1"/>
      <name val="&quot;CIDFont+F2&quot;"/>
    </font>
    <font>
      <sz val="12.0"/>
      <color theme="1"/>
      <name val="&quot;CIDFont+F4&quot;"/>
    </font>
    <font>
      <b/>
      <color rgb="FF93C47D"/>
      <name val="Arial"/>
      <scheme val="minor"/>
    </font>
    <font>
      <color rgb="FFD9EAD3"/>
      <name val="Arial"/>
      <scheme val="minor"/>
    </font>
  </fonts>
  <fills count="11">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F4CCCC"/>
        <bgColor rgb="FFF4CCCC"/>
      </patternFill>
    </fill>
    <fill>
      <patternFill patternType="solid">
        <fgColor rgb="FFA4C2F4"/>
        <bgColor rgb="FFA4C2F4"/>
      </patternFill>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readingOrder="0"/>
    </xf>
    <xf borderId="2" fillId="0" fontId="2" numFmtId="0" xfId="0" applyAlignment="1" applyBorder="1" applyFont="1">
      <alignment readingOrder="0"/>
    </xf>
    <xf borderId="3" fillId="0" fontId="2" numFmtId="0" xfId="0" applyAlignment="1" applyBorder="1" applyFont="1">
      <alignment readingOrder="0"/>
    </xf>
    <xf borderId="1" fillId="0" fontId="2" numFmtId="0" xfId="0" applyAlignment="1" applyBorder="1" applyFont="1">
      <alignment readingOrder="0"/>
    </xf>
    <xf borderId="1" fillId="0" fontId="2" numFmtId="3" xfId="0" applyAlignment="1" applyBorder="1" applyFont="1" applyNumberFormat="1">
      <alignment horizontal="center" readingOrder="0"/>
    </xf>
    <xf borderId="1" fillId="0" fontId="2" numFmtId="164" xfId="0" applyAlignment="1" applyBorder="1" applyFont="1" applyNumberFormat="1">
      <alignment horizontal="center" readingOrder="0"/>
    </xf>
    <xf borderId="4" fillId="0" fontId="2" numFmtId="0" xfId="0" applyBorder="1" applyFont="1"/>
    <xf borderId="5" fillId="0" fontId="2" numFmtId="0" xfId="0" applyAlignment="1" applyBorder="1" applyFont="1">
      <alignment readingOrder="0"/>
    </xf>
    <xf borderId="6" fillId="0" fontId="2" numFmtId="0" xfId="0" applyAlignment="1" applyBorder="1" applyFont="1">
      <alignment readingOrder="0"/>
    </xf>
    <xf borderId="0" fillId="0" fontId="2" numFmtId="0" xfId="0" applyAlignment="1" applyFont="1">
      <alignment readingOrder="0"/>
    </xf>
    <xf borderId="6" fillId="0" fontId="2" numFmtId="0" xfId="0" applyBorder="1" applyFont="1"/>
    <xf borderId="4" fillId="0" fontId="2" numFmtId="0" xfId="0" applyAlignment="1" applyBorder="1" applyFont="1">
      <alignment readingOrder="0"/>
    </xf>
    <xf borderId="0" fillId="0" fontId="2" numFmtId="0" xfId="0" applyAlignment="1" applyFont="1">
      <alignment horizontal="center"/>
    </xf>
    <xf borderId="7" fillId="3" fontId="1" numFmtId="0" xfId="0" applyAlignment="1" applyBorder="1" applyFill="1" applyFont="1">
      <alignment readingOrder="0"/>
    </xf>
    <xf borderId="8" fillId="3" fontId="2" numFmtId="165" xfId="0" applyAlignment="1" applyBorder="1" applyFont="1" applyNumberFormat="1">
      <alignment readingOrder="0"/>
    </xf>
    <xf borderId="9" fillId="3" fontId="2" numFmtId="0" xfId="0" applyBorder="1" applyFont="1"/>
    <xf borderId="1" fillId="0" fontId="2" numFmtId="165" xfId="0" applyAlignment="1" applyBorder="1" applyFont="1" applyNumberFormat="1">
      <alignment readingOrder="0"/>
    </xf>
    <xf borderId="1" fillId="0" fontId="2" numFmtId="166" xfId="0" applyAlignment="1" applyBorder="1" applyFont="1" applyNumberFormat="1">
      <alignment readingOrder="0"/>
    </xf>
    <xf borderId="0" fillId="0" fontId="2" numFmtId="0" xfId="0" applyAlignment="1" applyFont="1">
      <alignment horizontal="center" readingOrder="0"/>
    </xf>
    <xf borderId="1" fillId="0" fontId="3" numFmtId="0" xfId="0" applyAlignment="1" applyBorder="1" applyFont="1">
      <alignment readingOrder="0"/>
    </xf>
    <xf borderId="1" fillId="0" fontId="4" numFmtId="0" xfId="0" applyAlignment="1" applyBorder="1" applyFont="1">
      <alignment readingOrder="0"/>
    </xf>
    <xf borderId="1" fillId="0" fontId="5" numFmtId="0" xfId="0" applyAlignment="1" applyBorder="1" applyFont="1">
      <alignment readingOrder="0"/>
    </xf>
    <xf borderId="1" fillId="4" fontId="6" numFmtId="0" xfId="0" applyAlignment="1" applyBorder="1" applyFill="1" applyFont="1">
      <alignment readingOrder="0"/>
    </xf>
    <xf borderId="1" fillId="5" fontId="2" numFmtId="0" xfId="0" applyAlignment="1" applyBorder="1" applyFill="1" applyFont="1">
      <alignment readingOrder="0"/>
    </xf>
    <xf borderId="1" fillId="6" fontId="2" numFmtId="0" xfId="0" applyAlignment="1" applyBorder="1" applyFill="1" applyFont="1">
      <alignment readingOrder="0"/>
    </xf>
    <xf borderId="1" fillId="2" fontId="1" numFmtId="0" xfId="0" applyAlignment="1" applyBorder="1" applyFont="1">
      <alignment horizontal="center" readingOrder="0" vertical="top"/>
    </xf>
    <xf borderId="1" fillId="2" fontId="1" numFmtId="0" xfId="0" applyAlignment="1" applyBorder="1" applyFont="1">
      <alignment horizontal="left" readingOrder="0" vertical="top"/>
    </xf>
    <xf borderId="1" fillId="2" fontId="1" numFmtId="0" xfId="0" applyAlignment="1" applyBorder="1" applyFont="1">
      <alignment readingOrder="0" vertical="top"/>
    </xf>
    <xf borderId="1" fillId="3" fontId="1" numFmtId="0" xfId="0" applyAlignment="1" applyBorder="1" applyFont="1">
      <alignment readingOrder="0" vertical="top"/>
    </xf>
    <xf borderId="0" fillId="0" fontId="3" numFmtId="3" xfId="0" applyAlignment="1" applyFont="1" applyNumberFormat="1">
      <alignment horizontal="center" readingOrder="0"/>
    </xf>
    <xf borderId="0" fillId="5" fontId="2" numFmtId="3" xfId="0" applyAlignment="1" applyFont="1" applyNumberFormat="1">
      <alignment horizontal="center" readingOrder="0"/>
    </xf>
    <xf borderId="0" fillId="5" fontId="2" numFmtId="3" xfId="0" applyAlignment="1" applyFont="1" applyNumberFormat="1">
      <alignment horizontal="center"/>
    </xf>
    <xf borderId="0" fillId="0" fontId="2" numFmtId="3" xfId="0" applyAlignment="1" applyFont="1" applyNumberFormat="1">
      <alignment horizontal="center" readingOrder="0"/>
    </xf>
    <xf borderId="0" fillId="0" fontId="5" numFmtId="3" xfId="0" applyAlignment="1" applyFont="1" applyNumberFormat="1">
      <alignment horizontal="center" readingOrder="0"/>
    </xf>
    <xf borderId="0" fillId="5" fontId="6" numFmtId="3" xfId="0" applyFont="1" applyNumberFormat="1"/>
    <xf borderId="0" fillId="5" fontId="7" numFmtId="1" xfId="0" applyFont="1" applyNumberFormat="1"/>
    <xf borderId="0" fillId="5" fontId="2" numFmtId="3" xfId="0" applyFont="1" applyNumberFormat="1"/>
    <xf borderId="0" fillId="5" fontId="7" numFmtId="1" xfId="0" applyAlignment="1" applyFont="1" applyNumberFormat="1">
      <alignment readingOrder="0"/>
    </xf>
    <xf borderId="0" fillId="5" fontId="2" numFmtId="1" xfId="0" applyFont="1" applyNumberFormat="1"/>
    <xf borderId="0" fillId="5" fontId="2" numFmtId="164" xfId="0" applyFont="1" applyNumberFormat="1"/>
    <xf borderId="0" fillId="0" fontId="2" numFmtId="164" xfId="0" applyFont="1" applyNumberFormat="1"/>
    <xf borderId="0" fillId="0" fontId="2" numFmtId="2" xfId="0" applyFont="1" applyNumberFormat="1"/>
    <xf borderId="0" fillId="5" fontId="6" numFmtId="3" xfId="0" applyAlignment="1" applyFont="1" applyNumberFormat="1">
      <alignment horizontal="center" readingOrder="0"/>
    </xf>
    <xf borderId="0" fillId="0" fontId="8" numFmtId="3" xfId="0" applyFont="1" applyNumberFormat="1"/>
    <xf borderId="0" fillId="0" fontId="8" numFmtId="0" xfId="0" applyAlignment="1" applyFont="1">
      <alignment readingOrder="0"/>
    </xf>
    <xf borderId="0" fillId="0" fontId="8" numFmtId="3" xfId="0" applyAlignment="1" applyFont="1" applyNumberFormat="1">
      <alignment readingOrder="0"/>
    </xf>
    <xf borderId="0" fillId="4" fontId="2" numFmtId="3" xfId="0" applyAlignment="1" applyFont="1" applyNumberFormat="1">
      <alignment horizontal="center" readingOrder="0"/>
    </xf>
    <xf borderId="0" fillId="4" fontId="6" numFmtId="3" xfId="0" applyAlignment="1" applyFont="1" applyNumberFormat="1">
      <alignment horizontal="center" readingOrder="0"/>
    </xf>
    <xf borderId="0" fillId="6" fontId="6" numFmtId="0" xfId="0" applyAlignment="1" applyFont="1">
      <alignment readingOrder="0"/>
    </xf>
    <xf borderId="0" fillId="5" fontId="6" numFmtId="1" xfId="0" applyFont="1" applyNumberFormat="1"/>
    <xf borderId="0" fillId="0" fontId="9" numFmtId="0" xfId="0" applyAlignment="1" applyFont="1">
      <alignment readingOrder="0"/>
    </xf>
    <xf borderId="0" fillId="4" fontId="8" numFmtId="3" xfId="0" applyAlignment="1" applyFont="1" applyNumberFormat="1">
      <alignment horizontal="center"/>
    </xf>
    <xf borderId="0" fillId="0" fontId="2" numFmtId="0" xfId="0" applyAlignment="1" applyFont="1">
      <alignment horizontal="left" readingOrder="0"/>
    </xf>
    <xf borderId="0" fillId="7" fontId="6" numFmtId="3" xfId="0" applyAlignment="1" applyFill="1" applyFont="1" applyNumberFormat="1">
      <alignment horizontal="center" readingOrder="0"/>
    </xf>
    <xf borderId="0" fillId="6" fontId="2" numFmtId="3" xfId="0" applyAlignment="1" applyFont="1" applyNumberFormat="1">
      <alignment horizontal="center" readingOrder="0"/>
    </xf>
    <xf borderId="0" fillId="0" fontId="2" numFmtId="3" xfId="0" applyFont="1" applyNumberFormat="1"/>
    <xf borderId="0" fillId="0" fontId="2" numFmtId="1" xfId="0" applyFont="1" applyNumberFormat="1"/>
    <xf borderId="0" fillId="0" fontId="2" numFmtId="3" xfId="0" applyAlignment="1" applyFont="1" applyNumberFormat="1">
      <alignment horizontal="center"/>
    </xf>
    <xf borderId="2" fillId="2" fontId="10" numFmtId="0" xfId="0" applyAlignment="1" applyBorder="1" applyFont="1">
      <alignment readingOrder="0"/>
    </xf>
    <xf borderId="1" fillId="2" fontId="1" numFmtId="0" xfId="0" applyAlignment="1" applyBorder="1" applyFont="1">
      <alignment horizontal="center" readingOrder="0"/>
    </xf>
    <xf borderId="1" fillId="0" fontId="2" numFmtId="3" xfId="0" applyAlignment="1" applyBorder="1" applyFont="1" applyNumberFormat="1">
      <alignment horizontal="center"/>
    </xf>
    <xf borderId="1" fillId="0" fontId="2" numFmtId="1" xfId="0" applyAlignment="1" applyBorder="1" applyFont="1" applyNumberFormat="1">
      <alignment horizontal="center"/>
    </xf>
    <xf borderId="1" fillId="0" fontId="2" numFmtId="0" xfId="0" applyAlignment="1" applyBorder="1" applyFont="1">
      <alignment readingOrder="0"/>
    </xf>
    <xf borderId="0" fillId="0" fontId="2" numFmtId="3" xfId="0" applyAlignment="1" applyFont="1" applyNumberFormat="1">
      <alignment horizontal="center"/>
    </xf>
    <xf borderId="1" fillId="0" fontId="2" numFmtId="3" xfId="0" applyAlignment="1" applyBorder="1" applyFont="1" applyNumberFormat="1">
      <alignment horizontal="center"/>
    </xf>
    <xf borderId="1" fillId="0" fontId="1" numFmtId="0" xfId="0" applyAlignment="1" applyBorder="1" applyFont="1">
      <alignment readingOrder="0"/>
    </xf>
    <xf borderId="1" fillId="0" fontId="1" numFmtId="0" xfId="0" applyAlignment="1" applyBorder="1" applyFont="1">
      <alignment horizontal="center"/>
    </xf>
    <xf borderId="1" fillId="2" fontId="1" numFmtId="0" xfId="0" applyAlignment="1" applyBorder="1" applyFont="1">
      <alignment readingOrder="0"/>
    </xf>
    <xf borderId="1" fillId="2" fontId="1" numFmtId="167" xfId="0" applyAlignment="1" applyBorder="1" applyFont="1" applyNumberFormat="1">
      <alignment horizontal="center"/>
    </xf>
    <xf borderId="1" fillId="2" fontId="1" numFmtId="3" xfId="0" applyAlignment="1" applyBorder="1" applyFont="1" applyNumberFormat="1">
      <alignment horizontal="center"/>
    </xf>
    <xf borderId="1" fillId="2" fontId="1" numFmtId="167" xfId="0" applyAlignment="1" applyBorder="1" applyFont="1" applyNumberFormat="1">
      <alignment horizontal="center"/>
    </xf>
    <xf borderId="1" fillId="2" fontId="1" numFmtId="0" xfId="0" applyAlignment="1" applyBorder="1" applyFont="1">
      <alignment horizontal="center"/>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xf>
    <xf borderId="1" fillId="0" fontId="11" numFmtId="0" xfId="0" applyAlignment="1" applyBorder="1" applyFont="1">
      <alignment horizontal="center" readingOrder="0"/>
    </xf>
    <xf borderId="1" fillId="0" fontId="11" numFmtId="1" xfId="0" applyAlignment="1" applyBorder="1" applyFont="1" applyNumberFormat="1">
      <alignment horizontal="center"/>
    </xf>
    <xf borderId="1" fillId="0" fontId="12" numFmtId="1" xfId="0" applyAlignment="1" applyBorder="1" applyFont="1" applyNumberFormat="1">
      <alignment horizontal="center"/>
    </xf>
    <xf borderId="1" fillId="0" fontId="12" numFmtId="3" xfId="0" applyAlignment="1" applyBorder="1" applyFont="1" applyNumberFormat="1">
      <alignment horizontal="center"/>
    </xf>
    <xf borderId="1" fillId="0" fontId="11" numFmtId="167" xfId="0" applyAlignment="1" applyBorder="1" applyFont="1" applyNumberFormat="1">
      <alignment horizontal="center"/>
    </xf>
    <xf borderId="6" fillId="0" fontId="13" numFmtId="0" xfId="0" applyBorder="1" applyFont="1"/>
    <xf borderId="1" fillId="0" fontId="2" numFmtId="0" xfId="0" applyAlignment="1" applyBorder="1" applyFont="1">
      <alignment horizontal="center"/>
    </xf>
    <xf borderId="1" fillId="0" fontId="1" numFmtId="3" xfId="0" applyAlignment="1" applyBorder="1" applyFont="1" applyNumberFormat="1">
      <alignment horizontal="center"/>
    </xf>
    <xf borderId="1" fillId="0" fontId="14" numFmtId="1" xfId="0" applyAlignment="1" applyBorder="1" applyFont="1" applyNumberFormat="1">
      <alignment horizontal="center"/>
    </xf>
    <xf borderId="4" fillId="0" fontId="13" numFmtId="0" xfId="0" applyBorder="1" applyFont="1"/>
    <xf borderId="1" fillId="0" fontId="1" numFmtId="0" xfId="0" applyAlignment="1" applyBorder="1" applyFont="1">
      <alignment readingOrder="0" shrinkToFit="0" vertical="center" wrapText="1"/>
    </xf>
    <xf borderId="0" fillId="0" fontId="1" numFmtId="0" xfId="0" applyAlignment="1" applyFont="1">
      <alignment horizontal="right" readingOrder="0"/>
    </xf>
    <xf borderId="0" fillId="0" fontId="1" numFmtId="0" xfId="0" applyAlignment="1" applyFont="1">
      <alignment horizontal="center" readingOrder="0"/>
    </xf>
    <xf borderId="0" fillId="2" fontId="1" numFmtId="0" xfId="0" applyAlignment="1" applyFont="1">
      <alignment horizontal="right" readingOrder="0"/>
    </xf>
    <xf borderId="1" fillId="2" fontId="1" numFmtId="0" xfId="0" applyAlignment="1" applyBorder="1" applyFont="1">
      <alignment horizontal="right" readingOrder="0"/>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xf>
    <xf borderId="0" fillId="0" fontId="2" numFmtId="3" xfId="0" applyAlignment="1" applyFont="1" applyNumberFormat="1">
      <alignment readingOrder="0"/>
    </xf>
    <xf borderId="1" fillId="0" fontId="4" numFmtId="3" xfId="0" applyAlignment="1" applyBorder="1" applyFont="1" applyNumberFormat="1">
      <alignment horizontal="center" readingOrder="0"/>
    </xf>
    <xf borderId="1" fillId="0" fontId="1" numFmtId="0" xfId="0" applyAlignment="1" applyBorder="1" applyFont="1">
      <alignment horizontal="center"/>
    </xf>
    <xf borderId="1" fillId="0" fontId="6" numFmtId="3" xfId="0" applyAlignment="1" applyBorder="1" applyFont="1" applyNumberFormat="1">
      <alignment horizontal="center" readingOrder="0"/>
    </xf>
    <xf borderId="0" fillId="0" fontId="14" numFmtId="3" xfId="0" applyAlignment="1" applyFont="1" applyNumberFormat="1">
      <alignment readingOrder="0"/>
    </xf>
    <xf borderId="2" fillId="0" fontId="15" numFmtId="0" xfId="0" applyAlignment="1" applyBorder="1" applyFont="1">
      <alignment horizontal="center" readingOrder="0" shrinkToFit="0" vertical="center" wrapText="1"/>
    </xf>
    <xf borderId="1" fillId="2" fontId="2" numFmtId="0" xfId="0" applyAlignment="1" applyBorder="1" applyFont="1">
      <alignment horizontal="right" readingOrder="0"/>
    </xf>
    <xf borderId="1" fillId="0" fontId="2" numFmtId="3" xfId="0" applyAlignment="1" applyBorder="1" applyFont="1" applyNumberFormat="1">
      <alignment readingOrder="0"/>
    </xf>
    <xf borderId="1" fillId="0" fontId="2" numFmtId="0" xfId="0" applyBorder="1" applyFont="1"/>
    <xf borderId="1" fillId="0" fontId="1" numFmtId="0" xfId="0" applyAlignment="1" applyBorder="1" applyFont="1">
      <alignment horizontal="center" readingOrder="0" vertical="center"/>
    </xf>
    <xf borderId="1" fillId="0" fontId="2" numFmtId="168" xfId="0" applyAlignment="1" applyBorder="1" applyFont="1" applyNumberFormat="1">
      <alignment horizontal="center" readingOrder="0"/>
    </xf>
    <xf borderId="1" fillId="0" fontId="2" numFmtId="169" xfId="0" applyAlignment="1" applyBorder="1" applyFont="1" applyNumberFormat="1">
      <alignment horizontal="center" readingOrder="0"/>
    </xf>
    <xf borderId="1" fillId="0" fontId="1" numFmtId="1" xfId="0" applyAlignment="1" applyBorder="1" applyFont="1" applyNumberFormat="1">
      <alignment horizontal="center"/>
    </xf>
    <xf borderId="1" fillId="0" fontId="1" numFmtId="3" xfId="0" applyAlignment="1" applyBorder="1" applyFont="1" applyNumberFormat="1">
      <alignment horizontal="center" readingOrder="0"/>
    </xf>
    <xf borderId="0" fillId="0" fontId="2" numFmtId="1" xfId="0" applyAlignment="1" applyFont="1" applyNumberFormat="1">
      <alignment horizontal="center" readingOrder="0"/>
    </xf>
    <xf borderId="0" fillId="0" fontId="2" numFmtId="1" xfId="0" applyAlignment="1" applyFont="1" applyNumberFormat="1">
      <alignment horizontal="center"/>
    </xf>
    <xf borderId="0" fillId="0" fontId="16" numFmtId="0" xfId="0" applyAlignment="1" applyFont="1">
      <alignment readingOrder="0"/>
    </xf>
    <xf borderId="0" fillId="2" fontId="1" numFmtId="0" xfId="0" applyAlignment="1" applyFont="1">
      <alignment readingOrder="0"/>
    </xf>
    <xf borderId="0" fillId="0" fontId="2" numFmtId="0" xfId="0" applyAlignment="1" applyFont="1">
      <alignment readingOrder="0" shrinkToFit="0" wrapText="1"/>
    </xf>
    <xf borderId="3" fillId="0" fontId="1" numFmtId="0" xfId="0" applyBorder="1" applyFont="1"/>
    <xf borderId="1" fillId="2" fontId="1" numFmtId="1" xfId="0" applyAlignment="1" applyBorder="1" applyFont="1" applyNumberFormat="1">
      <alignment horizontal="center"/>
    </xf>
    <xf borderId="0" fillId="0" fontId="17" numFmtId="0" xfId="0" applyAlignment="1" applyFont="1">
      <alignment readingOrder="0"/>
    </xf>
    <xf borderId="1" fillId="2" fontId="18" numFmtId="0" xfId="0" applyAlignment="1" applyBorder="1" applyFont="1">
      <alignment horizontal="center" readingOrder="0"/>
    </xf>
    <xf borderId="1" fillId="2" fontId="19" numFmtId="0" xfId="0" applyAlignment="1" applyBorder="1" applyFont="1">
      <alignment readingOrder="0"/>
    </xf>
    <xf borderId="1" fillId="2" fontId="2" numFmtId="0" xfId="0" applyBorder="1" applyFont="1"/>
    <xf borderId="1" fillId="0" fontId="1" numFmtId="0" xfId="0" applyAlignment="1" applyBorder="1" applyFont="1">
      <alignment readingOrder="0"/>
    </xf>
    <xf borderId="0" fillId="0" fontId="20" numFmtId="0" xfId="0" applyAlignment="1" applyFont="1">
      <alignment readingOrder="0"/>
    </xf>
    <xf borderId="0" fillId="8" fontId="2" numFmtId="3" xfId="0" applyAlignment="1" applyFill="1" applyFont="1" applyNumberFormat="1">
      <alignment readingOrder="0"/>
    </xf>
    <xf borderId="0" fillId="0" fontId="5" numFmtId="3" xfId="0" applyAlignment="1" applyFont="1" applyNumberFormat="1">
      <alignment readingOrder="0"/>
    </xf>
    <xf borderId="0" fillId="0" fontId="21" numFmtId="3" xfId="0" applyAlignment="1" applyFont="1" applyNumberFormat="1">
      <alignment readingOrder="0"/>
    </xf>
    <xf borderId="0" fillId="0" fontId="8" numFmtId="4" xfId="0" applyAlignment="1" applyFont="1" applyNumberFormat="1">
      <alignment readingOrder="0"/>
    </xf>
    <xf borderId="0" fillId="0" fontId="21" numFmtId="170" xfId="0" applyAlignment="1" applyFont="1" applyNumberFormat="1">
      <alignment readingOrder="0"/>
    </xf>
    <xf borderId="0" fillId="0" fontId="21" numFmtId="0" xfId="0" applyAlignment="1" applyFont="1">
      <alignment readingOrder="0"/>
    </xf>
    <xf borderId="0" fillId="0" fontId="21" numFmtId="165" xfId="0" applyAlignment="1" applyFont="1" applyNumberFormat="1">
      <alignment readingOrder="0"/>
    </xf>
    <xf borderId="0" fillId="0" fontId="22" numFmtId="3" xfId="0" applyFont="1" applyNumberFormat="1"/>
    <xf borderId="0" fillId="0" fontId="2" numFmtId="4" xfId="0" applyFont="1" applyNumberFormat="1"/>
    <xf borderId="0" fillId="9" fontId="2" numFmtId="4" xfId="0" applyAlignment="1" applyFill="1" applyFont="1" applyNumberFormat="1">
      <alignment readingOrder="0"/>
    </xf>
    <xf borderId="0" fillId="0" fontId="4" numFmtId="170" xfId="0" applyAlignment="1" applyFont="1" applyNumberFormat="1">
      <alignment readingOrder="0"/>
    </xf>
    <xf borderId="0" fillId="9" fontId="2" numFmtId="3" xfId="0" applyAlignment="1" applyFont="1" applyNumberFormat="1">
      <alignment readingOrder="0"/>
    </xf>
    <xf borderId="0" fillId="9" fontId="2" numFmtId="171" xfId="0" applyFont="1" applyNumberFormat="1"/>
    <xf borderId="0" fillId="0" fontId="2" numFmtId="165" xfId="0" applyAlignment="1" applyFont="1" applyNumberFormat="1">
      <alignment readingOrder="0"/>
    </xf>
    <xf borderId="0" fillId="0" fontId="2" numFmtId="170" xfId="0" applyAlignment="1" applyFont="1" applyNumberFormat="1">
      <alignment readingOrder="0"/>
    </xf>
    <xf borderId="0" fillId="0" fontId="2" numFmtId="171" xfId="0" applyFont="1" applyNumberFormat="1"/>
    <xf borderId="0" fillId="10" fontId="2" numFmtId="3" xfId="0" applyAlignment="1" applyFill="1" applyFont="1" applyNumberFormat="1">
      <alignment readingOrder="0"/>
    </xf>
    <xf borderId="0" fillId="8" fontId="14" numFmtId="170" xfId="0" applyAlignment="1" applyFont="1" applyNumberFormat="1">
      <alignment readingOrder="0"/>
    </xf>
    <xf borderId="0" fillId="0" fontId="2" numFmtId="4" xfId="0" applyAlignment="1" applyFont="1" applyNumberFormat="1">
      <alignment readingOrder="0"/>
    </xf>
    <xf borderId="0" fillId="0" fontId="5" numFmtId="3" xfId="0" applyFont="1" applyNumberFormat="1"/>
    <xf borderId="0" fillId="0" fontId="2" numFmtId="0" xfId="0" applyFont="1"/>
    <xf borderId="0" fillId="10" fontId="8" numFmtId="3" xfId="0" applyFont="1" applyNumberFormat="1"/>
    <xf borderId="0" fillId="0" fontId="23" numFmtId="0" xfId="0" applyAlignment="1" applyFont="1">
      <alignment readingOrder="0"/>
    </xf>
    <xf borderId="0" fillId="0" fontId="2" numFmtId="1" xfId="0" applyAlignment="1" applyFont="1" applyNumberFormat="1">
      <alignment readingOrder="0"/>
    </xf>
    <xf borderId="0" fillId="0" fontId="24" numFmtId="0" xfId="0" applyAlignment="1" applyFont="1">
      <alignment readingOrder="0"/>
    </xf>
    <xf borderId="0" fillId="0" fontId="5" numFmtId="0" xfId="0" applyFont="1"/>
    <xf borderId="0" fillId="0" fontId="1" numFmtId="0" xfId="0" applyFont="1"/>
    <xf borderId="0" fillId="0" fontId="21" numFmtId="3" xfId="0" applyFont="1" applyNumberFormat="1"/>
    <xf borderId="0" fillId="0" fontId="8" numFmtId="4" xfId="0" applyFont="1" applyNumberFormat="1"/>
    <xf borderId="0" fillId="0" fontId="21" numFmtId="2" xfId="0" applyFont="1" applyNumberFormat="1"/>
    <xf borderId="0" fillId="0" fontId="25" numFmtId="3" xfId="0" applyFont="1" applyNumberFormat="1"/>
    <xf borderId="0" fillId="0" fontId="22" numFmtId="0" xfId="0" applyAlignment="1" applyFont="1">
      <alignment readingOrder="0"/>
    </xf>
    <xf borderId="0" fillId="6" fontId="14" numFmtId="170" xfId="0" applyAlignment="1" applyFont="1" applyNumberFormat="1">
      <alignment readingOrder="0"/>
    </xf>
    <xf borderId="0" fillId="8" fontId="14" numFmtId="3" xfId="0" applyAlignment="1" applyFont="1" applyNumberFormat="1">
      <alignment readingOrder="0"/>
    </xf>
    <xf borderId="0" fillId="10" fontId="21" numFmtId="3" xfId="0" applyFont="1" applyNumberFormat="1"/>
    <xf borderId="0" fillId="0" fontId="26" numFmtId="0" xfId="0" applyAlignment="1" applyFont="1">
      <alignment readingOrder="0"/>
    </xf>
    <xf borderId="0" fillId="0" fontId="8" numFmtId="0" xfId="0" applyFont="1"/>
    <xf borderId="0" fillId="0" fontId="1" numFmtId="3" xfId="0" applyAlignment="1" applyFont="1" applyNumberFormat="1">
      <alignment readingOrder="0"/>
    </xf>
    <xf borderId="0" fillId="8" fontId="8" numFmtId="170" xfId="0" applyFont="1" applyNumberFormat="1"/>
    <xf borderId="0" fillId="8" fontId="8" numFmtId="3" xfId="0" applyFont="1" applyNumberFormat="1"/>
    <xf borderId="0" fillId="8" fontId="2" numFmtId="170" xfId="0" applyAlignment="1" applyFont="1" applyNumberFormat="1">
      <alignment readingOrder="0"/>
    </xf>
    <xf borderId="1" fillId="2" fontId="2" numFmtId="0" xfId="0" applyAlignment="1" applyBorder="1" applyFont="1">
      <alignment readingOrder="0"/>
    </xf>
    <xf borderId="1" fillId="9" fontId="2" numFmtId="3" xfId="0" applyAlignment="1" applyBorder="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CEMEX Lyons - Average Daily Trips (ADT) by Year</a:t>
            </a:r>
          </a:p>
        </c:rich>
      </c:tx>
      <c:overlay val="0"/>
    </c:title>
    <c:plotArea>
      <c:layout/>
      <c:areaChart>
        <c:ser>
          <c:idx val="0"/>
          <c:order val="0"/>
          <c:tx>
            <c:strRef>
              <c:f>Data!$L$10</c:f>
            </c:strRef>
          </c:tx>
          <c:spPr>
            <a:solidFill>
              <a:srgbClr val="4285F4">
                <a:alpha val="30000"/>
              </a:srgbClr>
            </a:solidFill>
            <a:ln cmpd="sng">
              <a:solidFill>
                <a:srgbClr val="4285F4"/>
              </a:solidFill>
            </a:ln>
          </c:spPr>
          <c:cat>
            <c:strRef>
              <c:f>Data!$A$11:$A$50</c:f>
            </c:strRef>
          </c:cat>
          <c:val>
            <c:numRef>
              <c:f>Data!$L$11:$L$50</c:f>
              <c:numCache/>
            </c:numRef>
          </c:val>
        </c:ser>
        <c:ser>
          <c:idx val="1"/>
          <c:order val="1"/>
          <c:tx>
            <c:strRef>
              <c:f>Data!$E$10</c:f>
            </c:strRef>
          </c:tx>
          <c:spPr>
            <a:solidFill>
              <a:srgbClr val="EA4335">
                <a:alpha val="30000"/>
              </a:srgbClr>
            </a:solidFill>
            <a:ln cmpd="sng">
              <a:solidFill>
                <a:srgbClr val="EA4335"/>
              </a:solidFill>
            </a:ln>
          </c:spPr>
          <c:cat>
            <c:strRef>
              <c:f>Data!$A$11:$A$50</c:f>
            </c:strRef>
          </c:cat>
          <c:val>
            <c:numRef>
              <c:f>Data!$E$11:$E$50</c:f>
              <c:numCache/>
            </c:numRef>
          </c:val>
        </c:ser>
        <c:axId val="828830651"/>
        <c:axId val="531005366"/>
      </c:areaChart>
      <c:catAx>
        <c:axId val="828830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 of Plant Operation</a:t>
                </a:r>
              </a:p>
            </c:rich>
          </c:tx>
          <c:overlay val="0"/>
        </c:title>
        <c:numFmt formatCode="General" sourceLinked="1"/>
        <c:majorTickMark val="none"/>
        <c:minorTickMark val="none"/>
        <c:spPr>
          <a:ln>
            <a:noFill/>
          </a:ln>
        </c:spPr>
        <c:txPr>
          <a:bodyPr rot="-3600000"/>
          <a:lstStyle/>
          <a:p>
            <a:pPr lvl="0">
              <a:defRPr b="0">
                <a:solidFill>
                  <a:srgbClr val="000000"/>
                </a:solidFill>
                <a:latin typeface="+mn-lt"/>
              </a:defRPr>
            </a:pPr>
          </a:p>
        </c:txPr>
        <c:crossAx val="531005366"/>
      </c:catAx>
      <c:valAx>
        <c:axId val="531005366"/>
        <c:scaling>
          <c:orientation val="minMax"/>
          <c:max val="7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Daily Trips (ADTs)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883065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CEMEX - As Reported Inbound Average Daily Trips</a:t>
            </a:r>
          </a:p>
        </c:rich>
      </c:tx>
      <c:overlay val="0"/>
    </c:title>
    <c:plotArea>
      <c:layout/>
      <c:lineChart>
        <c:ser>
          <c:idx val="0"/>
          <c:order val="0"/>
          <c:tx>
            <c:strRef>
              <c:f>'Exhibit - Inbound ADTs'!$G$4</c:f>
            </c:strRef>
          </c:tx>
          <c:spPr>
            <a:ln cmpd="sng" w="38100">
              <a:solidFill>
                <a:srgbClr val="FF0000">
                  <a:alpha val="100000"/>
                </a:srgbClr>
              </a:solidFill>
              <a:prstDash val="solid"/>
            </a:ln>
          </c:spPr>
          <c:marker>
            <c:symbol val="circle"/>
            <c:size val="10"/>
            <c:spPr>
              <a:solidFill>
                <a:srgbClr val="FF0000">
                  <a:alpha val="100000"/>
                </a:srgbClr>
              </a:solidFill>
              <a:ln cmpd="sng">
                <a:solidFill>
                  <a:srgbClr val="FF00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trendline>
            <c:name>Trendline</c:name>
            <c:spPr>
              <a:ln w="19050">
                <a:solidFill>
                  <a:srgbClr val="000000">
                    <a:alpha val="80000"/>
                  </a:srgbClr>
                </a:solidFill>
              </a:ln>
            </c:spPr>
            <c:trendlineType val="exp"/>
            <c:dispRSqr val="0"/>
            <c:dispEq val="0"/>
          </c:trendline>
          <c:cat>
            <c:strRef>
              <c:f>'Exhibit - Inbound ADTs'!$C$5:$C$22</c:f>
            </c:strRef>
          </c:cat>
          <c:val>
            <c:numRef>
              <c:f>'Exhibit - Inbound ADTs'!$G$5:$G$22</c:f>
              <c:numCache/>
            </c:numRef>
          </c:val>
          <c:smooth val="0"/>
        </c:ser>
        <c:ser>
          <c:idx val="1"/>
          <c:order val="1"/>
          <c:tx>
            <c:v>Median ADTs from 2009-2023</c:v>
          </c:tx>
          <c:spPr>
            <a:ln cmpd="sng">
              <a:solidFill>
                <a:srgbClr val="000000">
                  <a:alpha val="100000"/>
                </a:srgbClr>
              </a:solidFill>
              <a:prstDash val="lgDash"/>
            </a:ln>
          </c:spPr>
          <c:marker>
            <c:symbol val="circle"/>
            <c:size val="2"/>
            <c:spPr>
              <a:solidFill>
                <a:srgbClr val="000000">
                  <a:alpha val="100000"/>
                </a:srgbClr>
              </a:solidFill>
              <a:ln cmpd="sng">
                <a:solidFill>
                  <a:srgbClr val="000000">
                    <a:alpha val="100000"/>
                  </a:srgbClr>
                </a:solidFill>
              </a:ln>
            </c:spPr>
          </c:marker>
          <c:cat>
            <c:strRef>
              <c:f>'Exhibit - Inbound ADTs'!$C$5:$C$22</c:f>
            </c:strRef>
          </c:cat>
          <c:val>
            <c:numRef>
              <c:f>'Exhibit - Inbound ADTs'!$H$5:$H$22</c:f>
              <c:numCache/>
            </c:numRef>
          </c:val>
          <c:smooth val="0"/>
        </c:ser>
        <c:axId val="869464244"/>
        <c:axId val="536114981"/>
      </c:lineChart>
      <c:catAx>
        <c:axId val="8694642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6114981"/>
      </c:catAx>
      <c:valAx>
        <c:axId val="536114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Daily Trips (Passenger Car Equivalent)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6946424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CEMEX - As Reported Average Daily Trips</a:t>
            </a:r>
          </a:p>
        </c:rich>
      </c:tx>
      <c:overlay val="0"/>
    </c:title>
    <c:plotArea>
      <c:layout/>
      <c:lineChart>
        <c:ser>
          <c:idx val="0"/>
          <c:order val="0"/>
          <c:tx>
            <c:v>ADTs (Passenger Car Equivalent)</c:v>
          </c:tx>
          <c:spPr>
            <a:ln cmpd="sng" w="38100">
              <a:solidFill>
                <a:srgbClr val="FF0000">
                  <a:alpha val="100000"/>
                </a:srgbClr>
              </a:solidFill>
              <a:prstDash val="solid"/>
            </a:ln>
          </c:spPr>
          <c:marker>
            <c:symbol val="circle"/>
            <c:size val="10"/>
            <c:spPr>
              <a:solidFill>
                <a:srgbClr val="FF0000">
                  <a:alpha val="100000"/>
                </a:srgbClr>
              </a:solidFill>
              <a:ln cmpd="sng">
                <a:solidFill>
                  <a:srgbClr val="FF00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trendline>
            <c:name>Trend of ADTs</c:name>
            <c:spPr>
              <a:ln w="19050">
                <a:solidFill>
                  <a:srgbClr val="000000">
                    <a:alpha val="80000"/>
                  </a:srgbClr>
                </a:solidFill>
              </a:ln>
            </c:spPr>
            <c:trendlineType val="exp"/>
            <c:dispRSqr val="0"/>
            <c:dispEq val="0"/>
          </c:trendline>
          <c:cat>
            <c:strRef>
              <c:f>'Exhibit - Total ADTs'!$C$8:$C$22</c:f>
            </c:strRef>
          </c:cat>
          <c:val>
            <c:numRef>
              <c:f>'Exhibit - Total ADTs'!$M$8:$M$22</c:f>
              <c:numCache/>
            </c:numRef>
          </c:val>
          <c:smooth val="0"/>
        </c:ser>
        <c:ser>
          <c:idx val="1"/>
          <c:order val="1"/>
          <c:tx>
            <c:v>Median ADTs from 2009-2023</c:v>
          </c:tx>
          <c:spPr>
            <a:ln cmpd="sng">
              <a:solidFill>
                <a:srgbClr val="000000">
                  <a:alpha val="100000"/>
                </a:srgbClr>
              </a:solidFill>
              <a:prstDash val="lgDash"/>
            </a:ln>
          </c:spPr>
          <c:marker>
            <c:symbol val="circle"/>
            <c:size val="2"/>
            <c:spPr>
              <a:solidFill>
                <a:srgbClr val="000000">
                  <a:alpha val="100000"/>
                </a:srgbClr>
              </a:solidFill>
              <a:ln cmpd="sng">
                <a:solidFill>
                  <a:srgbClr val="000000">
                    <a:alpha val="100000"/>
                  </a:srgbClr>
                </a:solidFill>
              </a:ln>
            </c:spPr>
          </c:marker>
          <c:cat>
            <c:strRef>
              <c:f>'Exhibit - Total ADTs'!$C$8:$C$22</c:f>
            </c:strRef>
          </c:cat>
          <c:val>
            <c:numRef>
              <c:f>'Exhibit - Total ADTs'!$N$8:$N$22</c:f>
              <c:numCache/>
            </c:numRef>
          </c:val>
          <c:smooth val="0"/>
        </c:ser>
        <c:axId val="1489178228"/>
        <c:axId val="1649451911"/>
      </c:lineChart>
      <c:catAx>
        <c:axId val="14891782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9451911"/>
      </c:catAx>
      <c:valAx>
        <c:axId val="16494519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Daily Trips (Passenger Car Equivalent)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917822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Clinker Tons as a Function of Feed Tons Per Year</a:t>
            </a:r>
          </a:p>
        </c:rich>
      </c:tx>
      <c:overlay val="0"/>
    </c:title>
    <c:plotArea>
      <c:layout/>
      <c:scatterChart>
        <c:scatterStyle val="lineMarker"/>
        <c:varyColors val="0"/>
        <c:ser>
          <c:idx val="0"/>
          <c:order val="0"/>
          <c:tx>
            <c:strRef>
              <c:f>'Exhibit - Feed to Clinker'!$D$2</c:f>
            </c:strRef>
          </c:tx>
          <c:spPr>
            <a:ln>
              <a:noFill/>
            </a:ln>
          </c:spPr>
          <c:marker>
            <c:symbol val="circle"/>
            <c:size val="7"/>
            <c:spPr>
              <a:solidFill>
                <a:schemeClr val="accent1"/>
              </a:solidFill>
              <a:ln cmpd="sng">
                <a:solidFill>
                  <a:schemeClr val="accent1"/>
                </a:solidFill>
              </a:ln>
            </c:spPr>
          </c:marker>
          <c:trendline>
            <c:name/>
            <c:spPr>
              <a:ln w="19050">
                <a:solidFill>
                  <a:srgbClr val="000000">
                    <a:alpha val="40000"/>
                  </a:srgbClr>
                </a:solidFill>
              </a:ln>
            </c:spPr>
            <c:trendlineType val="linear"/>
            <c:dispRSqr val="1"/>
            <c:dispEq val="1"/>
          </c:trendline>
          <c:xVal>
            <c:numRef>
              <c:f>'Exhibit - Feed to Clinker'!$C$3:$C$17</c:f>
            </c:numRef>
          </c:xVal>
          <c:yVal>
            <c:numRef>
              <c:f>'Exhibit - Feed to Clinker'!$D$3:$D$17</c:f>
              <c:numCache/>
            </c:numRef>
          </c:yVal>
        </c:ser>
        <c:dLbls>
          <c:showLegendKey val="0"/>
          <c:showVal val="0"/>
          <c:showCatName val="0"/>
          <c:showSerName val="0"/>
          <c:showPercent val="0"/>
          <c:showBubbleSize val="0"/>
        </c:dLbls>
        <c:axId val="539157757"/>
        <c:axId val="1421326592"/>
      </c:scatterChart>
      <c:valAx>
        <c:axId val="5391577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Clinker Tons Produced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21326592"/>
      </c:valAx>
      <c:valAx>
        <c:axId val="1421326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Feed Tons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915775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Clinker Production (tons) and Truck Volume</a:t>
            </a:r>
          </a:p>
        </c:rich>
      </c:tx>
      <c:overlay val="0"/>
    </c:title>
    <c:plotArea>
      <c:layout/>
      <c:scatterChart>
        <c:scatterStyle val="lineMarker"/>
        <c:varyColors val="0"/>
        <c:ser>
          <c:idx val="0"/>
          <c:order val="0"/>
          <c:tx>
            <c:strRef>
              <c:f>'Exhibit - Feed to Clinker'!$C$23</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'Exhibit - Feed to Clinker'!$B$24:$B$27</c:f>
            </c:numRef>
          </c:xVal>
          <c:yVal>
            <c:numRef>
              <c:f>'Exhibit - Feed to Clinker'!$C$24:$C$27</c:f>
              <c:numCache/>
            </c:numRef>
          </c:yVal>
        </c:ser>
        <c:dLbls>
          <c:showLegendKey val="0"/>
          <c:showVal val="0"/>
          <c:showCatName val="0"/>
          <c:showSerName val="0"/>
          <c:showPercent val="0"/>
          <c:showBubbleSize val="0"/>
        </c:dLbls>
        <c:axId val="1964343939"/>
        <c:axId val="938589880"/>
      </c:scatterChart>
      <c:valAx>
        <c:axId val="196434393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8589880"/>
      </c:valAx>
      <c:valAx>
        <c:axId val="938589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434393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Clinker Production (tons) and Truck Volume</a:t>
            </a:r>
          </a:p>
        </c:rich>
      </c:tx>
      <c:overlay val="0"/>
    </c:title>
    <c:plotArea>
      <c:layout/>
      <c:scatterChart>
        <c:scatterStyle val="lineMarker"/>
        <c:varyColors val="0"/>
        <c:ser>
          <c:idx val="0"/>
          <c:order val="0"/>
          <c:tx>
            <c:strRef>
              <c:f>'Exhibit - Feed to Clinker'!$C$23</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1"/>
            <c:dispEq val="1"/>
          </c:trendline>
          <c:xVal>
            <c:numRef>
              <c:f>'Exhibit - Feed to Clinker'!$B$24:$B$27</c:f>
            </c:numRef>
          </c:xVal>
          <c:yVal>
            <c:numRef>
              <c:f>'Exhibit - Feed to Clinker'!$C$24:$C$27</c:f>
              <c:numCache/>
            </c:numRef>
          </c:yVal>
        </c:ser>
        <c:dLbls>
          <c:showLegendKey val="0"/>
          <c:showVal val="0"/>
          <c:showCatName val="0"/>
          <c:showSerName val="0"/>
          <c:showPercent val="0"/>
          <c:showBubbleSize val="0"/>
        </c:dLbls>
        <c:axId val="350515907"/>
        <c:axId val="1129661575"/>
      </c:scatterChart>
      <c:valAx>
        <c:axId val="3505159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9661575"/>
      </c:valAx>
      <c:valAx>
        <c:axId val="11296615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0515907"/>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CEMEX Lyons Production vs Capacity</a:t>
            </a:r>
          </a:p>
        </c:rich>
      </c:tx>
      <c:overlay val="0"/>
    </c:title>
    <c:plotArea>
      <c:layout/>
      <c:lineChart>
        <c:ser>
          <c:idx val="0"/>
          <c:order val="0"/>
          <c:tx>
            <c:v>Capacity Before Expansion Project</c:v>
          </c:tx>
          <c:spPr>
            <a:ln cmpd="sng" w="19050">
              <a:solidFill>
                <a:srgbClr val="FF0000">
                  <a:alpha val="100000"/>
                </a:srgbClr>
              </a:solidFill>
              <a:prstDash val="solid"/>
            </a:ln>
          </c:spPr>
          <c:marker>
            <c:symbol val="none"/>
          </c:marker>
          <c:cat>
            <c:strRef>
              <c:f>'Historical Data (Deprecated)'!$B$5:$B$47</c:f>
            </c:strRef>
          </c:cat>
          <c:val>
            <c:numRef>
              <c:f>'Historical Data (Deprecated)'!$C$5:$C$47</c:f>
              <c:numCache/>
            </c:numRef>
          </c:val>
          <c:smooth val="0"/>
        </c:ser>
        <c:ser>
          <c:idx val="1"/>
          <c:order val="1"/>
          <c:tx>
            <c:v>Capacity After Expansion Project (1998)</c:v>
          </c:tx>
          <c:spPr>
            <a:ln cmpd="sng">
              <a:solidFill>
                <a:srgbClr val="1155CC">
                  <a:alpha val="100000"/>
                </a:srgbClr>
              </a:solidFill>
              <a:prstDash val="lgDash"/>
            </a:ln>
          </c:spPr>
          <c:marker>
            <c:symbol val="none"/>
          </c:marker>
          <c:cat>
            <c:strRef>
              <c:f>'Historical Data (Deprecated)'!$B$5:$B$47</c:f>
            </c:strRef>
          </c:cat>
          <c:val>
            <c:numRef>
              <c:f>'Historical Data (Deprecated)'!$D$5:$D$47</c:f>
              <c:numCache/>
            </c:numRef>
          </c:val>
          <c:smooth val="0"/>
        </c:ser>
        <c:ser>
          <c:idx val="2"/>
          <c:order val="2"/>
          <c:tx>
            <c:v>Clinker Production</c:v>
          </c:tx>
          <c:spPr>
            <a:ln cmpd="sng">
              <a:solidFill>
                <a:srgbClr val="FBBC04"/>
              </a:solidFill>
            </a:ln>
          </c:spPr>
          <c:marker>
            <c:symbol val="none"/>
          </c:marker>
          <c:cat>
            <c:strRef>
              <c:f>'Historical Data (Deprecated)'!$B$5:$B$47</c:f>
            </c:strRef>
          </c:cat>
          <c:val>
            <c:numRef>
              <c:f>'Historical Data (Deprecated)'!$I$5:$I$47</c:f>
              <c:numCache/>
            </c:numRef>
          </c:val>
          <c:smooth val="0"/>
        </c:ser>
        <c:axId val="796188112"/>
        <c:axId val="522469724"/>
      </c:lineChart>
      <c:catAx>
        <c:axId val="796188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cross"/>
        <c:minorTickMark val="cross"/>
        <c:spPr/>
        <c:txPr>
          <a:bodyPr rot="-3600000"/>
          <a:lstStyle/>
          <a:p>
            <a:pPr lvl="0">
              <a:defRPr b="0">
                <a:solidFill>
                  <a:srgbClr val="000000"/>
                </a:solidFill>
                <a:latin typeface="+mn-lt"/>
              </a:defRPr>
            </a:pPr>
          </a:p>
        </c:txPr>
        <c:crossAx val="522469724"/>
      </c:catAx>
      <c:valAx>
        <c:axId val="52246972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Tons Produced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618811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800100</xdr:colOff>
      <xdr:row>1</xdr:row>
      <xdr:rowOff>104775</xdr:rowOff>
    </xdr:from>
    <xdr:ext cx="8267700" cy="4057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685800</xdr:colOff>
      <xdr:row>0</xdr:row>
      <xdr:rowOff>171450</xdr:rowOff>
    </xdr:from>
    <xdr:ext cx="7058025" cy="44577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752475</xdr:colOff>
      <xdr:row>2</xdr:row>
      <xdr:rowOff>47625</xdr:rowOff>
    </xdr:from>
    <xdr:ext cx="5638800" cy="5381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23</xdr:row>
      <xdr:rowOff>38100</xdr:rowOff>
    </xdr:from>
    <xdr:ext cx="9105900" cy="56292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923925</xdr:colOff>
      <xdr:row>23</xdr:row>
      <xdr:rowOff>38100</xdr:rowOff>
    </xdr:from>
    <xdr:ext cx="14830425" cy="91630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xdr:colOff>
      <xdr:row>20</xdr:row>
      <xdr:rowOff>57150</xdr:rowOff>
    </xdr:from>
    <xdr:ext cx="6686550" cy="39624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1419225</xdr:colOff>
      <xdr:row>61</xdr:row>
      <xdr:rowOff>76200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57150</xdr:colOff>
      <xdr:row>29</xdr:row>
      <xdr:rowOff>180975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457200</xdr:colOff>
      <xdr:row>49</xdr:row>
      <xdr:rowOff>76200</xdr:rowOff>
    </xdr:from>
    <xdr:ext cx="7839075" cy="48482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409575</xdr:colOff>
      <xdr:row>13</xdr:row>
      <xdr:rowOff>57150</xdr:rowOff>
    </xdr:from>
    <xdr:ext cx="5638800" cy="74390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190500</xdr:colOff>
      <xdr:row>69</xdr:row>
      <xdr:rowOff>180975</xdr:rowOff>
    </xdr:from>
    <xdr:ext cx="17745075" cy="34861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771525</xdr:colOff>
      <xdr:row>0</xdr:row>
      <xdr:rowOff>0</xdr:rowOff>
    </xdr:from>
    <xdr:ext cx="9353550" cy="60007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mscott.wolf@gmail.com" id="{ff177760-dcba-4b3b-ad58-3caf22d96aa0}" userId="ymscott.wolf@gmail.com" providerId="google-sheets"/>
  <x18tc:person displayName="Bart Lorang" id="{d5b07493-1d37-4d59-a5b2-924d40e95555}" providerId="google-sheets"/>
  <x18tc:person displayName="Scott Wolf" id="{84c94353-41ad-4e03-bf70-3b37cd88e3b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0" dT="2024-12-18T17:04:39.00" personId="{84c94353-41ad-4e03-bf70-3b37cd88e3b7}" id="{36b45d3d-3bc8-46c5-bc17-484e1944c3a0}" done="0">
    <x18tc:text xml:space="preserve">The original value here is the clinker feed, not production.  The only production number I see is 125781 in the clinker storage section, which doesn't make sense for the kiln feed.</x18tc:text>
  </x18tc:threadedComment>
  <x18tc:threadedComment ref="C39" dT="2024-12-18T17:16:40.00" personId="{84c94353-41ad-4e03-bf70-3b37cd88e3b7}" id="{8ab9fb43-ce9e-4abb-a596-6bd23ae31607}" done="0">
    <x18tc:text xml:space="preserve">The value 425274 is a handwritten value.  Another location in the report notes a production of 455400 tons of clinker</x18tc:text>
  </x18tc:threadedComment>
  <x18tc:threadedComment ref="C41" dT="2024-12-18T16:50:25.00" personId="{84c94353-41ad-4e03-bf70-3b37cd88e3b7}" id="{5529523e-c23a-4115-85aa-f18017a63d4e}" done="0">
    <x18tc:text xml:space="preserve">3/18/1994 CDPHE report is confusing.  It says "Rock to Kiln (Clinker Production) 419,229." and "Product to Finish Mill (Cement Productino) 517,099".  Later in the report, it says "Kiln Feed Tons: 419,229" and "THRUPOT( Tons Clinker): 419,229". Be suspicious of this  data point</x18tc:text>
  </x18tc:threadedComment>
  <x18tc:threadedComment ref="C41" dT="2024-12-19T21:37:21.00" personId="{d5b07493-1d37-4d59-a5b2-924d40e95555}" id="{d57f9447-c87e-40aa-83ce-5d75664289fa}" parentId="{5529523e-c23a-4115-85aa-f18017a63d4e}">
    <x18tc:text xml:space="preserve">Yes, I agree.  I can't seem to find that 3/18/1994 CDPHE report - can you send me a link to it?</x18tc:text>
  </x18tc:threadedComment>
  <x18tc:threadedComment ref="K29" dT="2024-12-20T17:52:01.00" personId="{84c94353-41ad-4e03-bf70-3b37cd88e3b7}" id="{c3e410b8-d1e9-488a-b9ee-93f3b66bc776}" done="0">
    <x18tc:text xml:space="preserve">These values of "1000" inbound trucks are consistent with the average trucks in from 2006-2018 when it is understood that raw material for kiln is from Dowe flats</x18tc:text>
  </x18tc:threadedComment>
  <x18tc:threadedComment ref="C48" dT="2024-12-18T16:28:20.00" personId="{84c94353-41ad-4e03-bf70-3b37cd88e3b7}" id="{88d53f3c-0408-4e04-944a-69c73c0b701e}" done="0">
    <x18tc:text xml:space="preserve">1987 CDPHE report for 1986</x18tc:text>
  </x18tc:threadedComment>
  <x18tc:threadedComment ref="C36" dT="2024-12-18T17:27:04.00" personId="{84c94353-41ad-4e03-bf70-3b37cd88e3b7}" id="{fd333a48-c6e6-4a4f-a447-88ba57ab225a}" done="0">
    <x18tc:text xml:space="preserve">I don't see this value in the report.  I do see 155997 for the cement finish mill with a (518,399 ton/year) estimate, the estimate note "*The new Finish Mill OPerations began March 23, 1999. Numbers in (parenthesis) are estimate for a full year of production based on the first quarter."</x18tc:text>
  </x18tc:threadedComment>
  <x18tc:threadedComment ref="C36" dT="2024-12-19T21:08:05.00" personId="{d5b07493-1d37-4d59-a5b2-924d40e95555}" id="{8a383918-4404-44ed-ba15-f02b7585d963}" parentId="{fd333a48-c6e6-4a4f-a447-88ba57ab225a}">
    <x18tc:text xml:space="preserve">@ymscott.wolf@gmail.com I found this document, which has a table of historical values:  https://drive.google.com/open?id=1VZrYsBQ5z0Ilb5E7q-zOCiv8sldXjtmV&amp;usp=drive_fs. I updated this quantity (503,192) to match the 1998 figure from the table.</x18tc:text>
    <x18tc:mentions>
      <x18tc:mention mentionpersonId="{ff177760-dcba-4b3b-ad58-3caf22d96aa0}" mentionId="{a1334e88-88a9-4fdc-a79c-4751d6fb03cd}" startIndex="0" length="23"/>
    </x18tc:mentions>
    <x18tc:extLst>
      <ext uri="{F7C98A9C-CBB3-438F-8F68-D28B6AF4A901}">
        <xltc2:checksum/>
        <xltc2:hyperlink startIndex="88" length="79" url="https://drive.google.com/open?id=1VZrYsBQ5z0Ilb5E7q-zOCiv8sldXjtmV&amp;usp=drive_fs"/>
      </ext>
    </x18tc:extLst>
  </x18tc:threadedComment>
  <x18tc:threadedComment ref="D40" dT="2024-12-18T17:00:55.00" personId="{84c94353-41ad-4e03-bf70-3b37cd88e3b7}" id="{e37abf45-0f8b-4778-871b-24aa00abdad5}" done="0">
    <x18tc:text xml:space="preserve">Original values of 748065 matches raw material sent to dryer/crusher, not the kiln feed.</x18tc:text>
  </x18tc:threadedComment>
  <x18tc:threadedComment ref="D40" dT="2024-12-19T21:26:01.00" personId="{d5b07493-1d37-4d59-a5b2-924d40e95555}" id="{4521adbc-ab9c-4eaf-b656-be9cd7627df3}" parentId="{e37abf45-0f8b-4778-871b-24aa00abdad5}">
    <x18tc:text xml:space="preserve">Yes, the 1995 report regarding 1994 numbers is very strange. The kiln feed number looks to be more the magnitude of a typical clinker production number.  However, with the Larimer pit tonnage reported that year, it's entirely possible that it was a very low production year, which would mean a lot less truck traffic in 1994, the most important year to compare against.  Perhaps that's why Landis did not include 1994 data?</x18tc:text>
  </x18tc:threadedComment>
  <x18tc:threadedComment ref="C47" dT="2024-12-18T16:35:58.00" personId="{84c94353-41ad-4e03-bf70-3b37cd88e3b7}" id="{775dfb71-fed8-4925-9c8a-994294ac5e6f}" done="0">
    <x18tc:text xml:space="preserve">CDPHE says 352161 tons concrete produced (1988 report for 1987)</x18tc:text>
  </x18tc:threadedComment>
  <x18tc:threadedComment ref="F39" dT="2024-12-19T22:36:01.00" personId="{84c94353-41ad-4e03-bf70-3b37cd88e3b7}" id="{bcaaf49a-b885-40e8-945d-b40decc0a0dc}" done="0">
    <x18tc:text xml:space="preserve">From the 1106 CDPHE report: "A total of 684919 tons of material was mined from pits at the lyons facility in 1995. Some additional material was brought in from the larimer county pits. Pit C has about 18 months of limestone left to be mined than they will have to rely on Dowe Flatts"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6" dT="2023-09-10T00:41:28.00" personId="{d5b07493-1d37-4d59-a5b2-924d40e95555}" id="{966e17f8-15d4-400f-a75f-eee0d29cadba}" done="1">
    <x18tc:text xml:space="preserve">This ratio seems way off</x18tc:text>
  </x18tc:threadedComment>
  <x18tc:threadedComment ref="V6" dT="2023-09-10T00:45:29.00" personId="{d5b07493-1d37-4d59-a5b2-924d40e95555}" id="{d3497fab-2e4b-4d9a-94d7-bca3f9397585}" done="1">
    <x18tc:text xml:space="preserve">This seems like a strange jump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open?id=10BYqpLghyf_rS1R6H-1Tx-lErR7OmL7o&amp;usp=drive_fs" TargetMode="External"/><Relationship Id="rId5" Type="http://schemas.openxmlformats.org/officeDocument/2006/relationships/hyperlink" Target="https://drive.google.com/open?id=100Zbi6VsBymBgjq6aFFo1YHjVZka9reI&amp;usp=drive_fs" TargetMode="External"/><Relationship Id="rId6" Type="http://schemas.openxmlformats.org/officeDocument/2006/relationships/drawing" Target="../drawings/drawing2.xml"/><Relationship Id="rId7"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open?id=10BYqpLghyf_rS1R6H-1Tx-lErR7OmL7o&amp;usp=drive_fs" TargetMode="External"/><Relationship Id="rId3" Type="http://schemas.openxmlformats.org/officeDocument/2006/relationships/hyperlink" Target="https://drive.google.com/open?id=100Zbi6VsBymBgjq6aFFo1YHjVZka9reI&amp;usp=drive_fs" TargetMode="External"/><Relationship Id="rId4" Type="http://schemas.openxmlformats.org/officeDocument/2006/relationships/drawing" Target="../drawings/drawing10.xml"/><Relationship Id="rId5"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3.xml"/><Relationship Id="rId5"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open?id=11OMsHkjDIVHN0TrAxQBKXBdRRncF_PEB&amp;usp=drive_fs" TargetMode="External"/><Relationship Id="rId2" Type="http://schemas.openxmlformats.org/officeDocument/2006/relationships/hyperlink" Target="https://drive.google.com/open?id=11RoC46L-Y7QcK-RAVmnaQh2MCcmIqZnU&amp;usp=drive_fs" TargetMode="External"/><Relationship Id="rId3" Type="http://schemas.openxmlformats.org/officeDocument/2006/relationships/hyperlink" Target="https://drive.google.com/open?id=107Py5LcFpKAR8oLoLaZTOGEFxWYE41KD&amp;usp=drive_fs" TargetMode="External"/><Relationship Id="rId4" Type="http://schemas.openxmlformats.org/officeDocument/2006/relationships/hyperlink" Target="https://drive.google.com/open?id=1BBwq2JZi5JjRuvaDMUB36OzJAh0A-XQn&amp;usp=drive_fs" TargetMode="External"/><Relationship Id="rId5"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38"/>
    <col customWidth="1" min="4" max="4" width="37.0"/>
    <col customWidth="1" min="5" max="5" width="25.88"/>
    <col customWidth="1" min="9" max="9" width="39.63"/>
  </cols>
  <sheetData>
    <row r="2">
      <c r="M2" s="1" t="s">
        <v>0</v>
      </c>
    </row>
    <row r="26">
      <c r="B26" s="2" t="s">
        <v>1</v>
      </c>
      <c r="C26" s="2" t="s">
        <v>2</v>
      </c>
      <c r="D26" s="2" t="s">
        <v>3</v>
      </c>
      <c r="E26" s="2" t="s">
        <v>4</v>
      </c>
      <c r="F26" s="2" t="s">
        <v>5</v>
      </c>
      <c r="G26" s="2" t="s">
        <v>6</v>
      </c>
      <c r="H26" s="2" t="s">
        <v>7</v>
      </c>
      <c r="I26" s="2" t="s">
        <v>8</v>
      </c>
    </row>
    <row r="27">
      <c r="B27" s="3" t="s">
        <v>9</v>
      </c>
      <c r="C27" s="4" t="s">
        <v>10</v>
      </c>
      <c r="D27" s="5" t="s">
        <v>11</v>
      </c>
      <c r="E27" s="5" t="s">
        <v>12</v>
      </c>
      <c r="F27" s="6">
        <f t="shared" ref="F27:F29" si="1">G27*H27/25*2</f>
        <v>2520000</v>
      </c>
      <c r="G27" s="6">
        <v>350000.0</v>
      </c>
      <c r="H27" s="7">
        <v>90.0</v>
      </c>
      <c r="I27" s="5" t="s">
        <v>13</v>
      </c>
    </row>
    <row r="28">
      <c r="B28" s="8"/>
      <c r="C28" s="9" t="s">
        <v>14</v>
      </c>
      <c r="D28" s="5" t="s">
        <v>11</v>
      </c>
      <c r="E28" s="5" t="s">
        <v>12</v>
      </c>
      <c r="F28" s="6">
        <f t="shared" si="1"/>
        <v>980000</v>
      </c>
      <c r="G28" s="6">
        <v>350000.0</v>
      </c>
      <c r="H28" s="7">
        <v>35.0</v>
      </c>
      <c r="I28" s="5" t="s">
        <v>15</v>
      </c>
    </row>
    <row r="29">
      <c r="B29" s="3" t="s">
        <v>16</v>
      </c>
      <c r="C29" s="4" t="s">
        <v>10</v>
      </c>
      <c r="D29" s="5" t="s">
        <v>17</v>
      </c>
      <c r="E29" s="5" t="s">
        <v>12</v>
      </c>
      <c r="F29" s="6">
        <f t="shared" si="1"/>
        <v>2520000</v>
      </c>
      <c r="G29" s="6">
        <v>350000.0</v>
      </c>
      <c r="H29" s="7">
        <v>90.0</v>
      </c>
      <c r="I29" s="5" t="s">
        <v>13</v>
      </c>
    </row>
    <row r="30">
      <c r="B30" s="8"/>
      <c r="C30" s="9" t="s">
        <v>14</v>
      </c>
      <c r="D30" s="5" t="s">
        <v>18</v>
      </c>
      <c r="E30" s="5" t="s">
        <v>19</v>
      </c>
      <c r="F30" s="6" t="s">
        <v>20</v>
      </c>
      <c r="G30" s="6">
        <v>350000.0</v>
      </c>
      <c r="H30" s="7">
        <v>1.5</v>
      </c>
      <c r="I30" s="5" t="s">
        <v>21</v>
      </c>
    </row>
    <row r="31">
      <c r="B31" s="10" t="s">
        <v>22</v>
      </c>
      <c r="C31" s="11" t="s">
        <v>23</v>
      </c>
      <c r="D31" s="5" t="s">
        <v>18</v>
      </c>
      <c r="E31" s="5" t="s">
        <v>19</v>
      </c>
      <c r="F31" s="6" t="s">
        <v>20</v>
      </c>
      <c r="G31" s="6">
        <v>350000.0</v>
      </c>
      <c r="H31" s="7">
        <v>1.5</v>
      </c>
      <c r="I31" s="5" t="s">
        <v>21</v>
      </c>
    </row>
    <row r="32">
      <c r="B32" s="12"/>
      <c r="C32" s="11" t="s">
        <v>14</v>
      </c>
      <c r="D32" s="5" t="s">
        <v>18</v>
      </c>
      <c r="E32" s="5" t="s">
        <v>19</v>
      </c>
      <c r="F32" s="6" t="s">
        <v>20</v>
      </c>
      <c r="G32" s="6">
        <v>350000.0</v>
      </c>
      <c r="H32" s="7">
        <v>1.5</v>
      </c>
      <c r="I32" s="5" t="s">
        <v>21</v>
      </c>
    </row>
    <row r="33">
      <c r="B33" s="3" t="s">
        <v>24</v>
      </c>
      <c r="C33" s="4" t="s">
        <v>23</v>
      </c>
      <c r="D33" s="5" t="s">
        <v>18</v>
      </c>
      <c r="E33" s="5" t="s">
        <v>25</v>
      </c>
      <c r="F33" s="6" t="s">
        <v>20</v>
      </c>
      <c r="G33" s="6">
        <v>350000.0</v>
      </c>
      <c r="H33" s="7">
        <v>1.0</v>
      </c>
      <c r="I33" s="5" t="s">
        <v>26</v>
      </c>
    </row>
    <row r="34">
      <c r="B34" s="13"/>
      <c r="C34" s="9" t="s">
        <v>14</v>
      </c>
      <c r="D34" s="5" t="s">
        <v>18</v>
      </c>
      <c r="E34" s="5" t="s">
        <v>25</v>
      </c>
      <c r="F34" s="6" t="s">
        <v>20</v>
      </c>
      <c r="G34" s="6">
        <v>350000.0</v>
      </c>
      <c r="H34" s="7">
        <v>1.0</v>
      </c>
      <c r="I34" s="5" t="s">
        <v>26</v>
      </c>
    </row>
    <row r="35">
      <c r="B35" s="3" t="s">
        <v>27</v>
      </c>
      <c r="C35" s="4" t="s">
        <v>10</v>
      </c>
      <c r="D35" s="5" t="s">
        <v>11</v>
      </c>
      <c r="E35" s="5" t="s">
        <v>12</v>
      </c>
      <c r="F35" s="6">
        <f>G35*H35/25*2</f>
        <v>132000</v>
      </c>
      <c r="G35" s="6">
        <f>6000*25</f>
        <v>150000</v>
      </c>
      <c r="H35" s="7">
        <v>11.0</v>
      </c>
      <c r="I35" s="5" t="s">
        <v>28</v>
      </c>
    </row>
    <row r="36">
      <c r="B36" s="13"/>
      <c r="C36" s="9" t="s">
        <v>14</v>
      </c>
      <c r="D36" s="5" t="s">
        <v>18</v>
      </c>
      <c r="E36" s="5" t="s">
        <v>25</v>
      </c>
      <c r="F36" s="6" t="s">
        <v>20</v>
      </c>
      <c r="G36" s="6">
        <v>550000.0</v>
      </c>
      <c r="H36" s="7">
        <v>1.0</v>
      </c>
      <c r="I36" s="5" t="s">
        <v>26</v>
      </c>
    </row>
    <row r="37">
      <c r="B37" s="3" t="s">
        <v>29</v>
      </c>
      <c r="C37" s="11" t="s">
        <v>10</v>
      </c>
      <c r="D37" s="5" t="s">
        <v>18</v>
      </c>
      <c r="E37" s="5" t="s">
        <v>25</v>
      </c>
      <c r="F37" s="6" t="s">
        <v>20</v>
      </c>
      <c r="G37" s="6">
        <v>350000.0</v>
      </c>
      <c r="H37" s="7">
        <v>1.0</v>
      </c>
      <c r="I37" s="5" t="s">
        <v>26</v>
      </c>
    </row>
    <row r="38">
      <c r="B38" s="13"/>
      <c r="C38" s="9" t="s">
        <v>14</v>
      </c>
      <c r="D38" s="5" t="s">
        <v>18</v>
      </c>
      <c r="E38" s="5" t="s">
        <v>25</v>
      </c>
      <c r="F38" s="6" t="s">
        <v>20</v>
      </c>
      <c r="G38" s="6">
        <v>350000.0</v>
      </c>
      <c r="H38" s="7">
        <v>1.0</v>
      </c>
      <c r="I38" s="5" t="s">
        <v>26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75"/>
  <cols>
    <col customWidth="1" min="1" max="1" width="10.75"/>
    <col customWidth="1" min="2" max="2" width="75.63"/>
    <col customWidth="1" min="3" max="3" width="20.75"/>
    <col customWidth="1" min="4" max="4" width="22.0"/>
    <col customWidth="1" min="5" max="5" width="26.5"/>
    <col customWidth="1" min="6" max="6" width="36.5"/>
    <col customWidth="1" min="7" max="7" width="53.25"/>
    <col customWidth="1" hidden="1" min="8" max="8" width="25.0"/>
    <col customWidth="1" min="9" max="9" width="29.88"/>
    <col customWidth="1" min="10" max="10" width="27.13"/>
    <col customWidth="1" min="11" max="11" width="32.13"/>
    <col customWidth="1" min="12" max="13" width="23.88"/>
    <col customWidth="1" min="14" max="14" width="30.63"/>
    <col customWidth="1" min="15" max="15" width="40.5"/>
    <col customWidth="1" min="16" max="16" width="30.63"/>
    <col customWidth="1" min="17" max="17" width="32.0"/>
  </cols>
  <sheetData>
    <row r="1">
      <c r="A1" s="11" t="s">
        <v>30</v>
      </c>
      <c r="E1" s="14"/>
    </row>
    <row r="2">
      <c r="A2" s="15" t="s">
        <v>31</v>
      </c>
      <c r="B2" s="16"/>
      <c r="C2" s="17"/>
      <c r="D2" s="2" t="s">
        <v>32</v>
      </c>
      <c r="E2" s="2" t="s">
        <v>33</v>
      </c>
      <c r="G2" s="2" t="s">
        <v>34</v>
      </c>
    </row>
    <row r="3">
      <c r="A3" s="1" t="s">
        <v>35</v>
      </c>
      <c r="B3" s="18"/>
      <c r="C3" s="19">
        <v>1.6009</v>
      </c>
      <c r="D3" s="20">
        <v>7694.7491</v>
      </c>
      <c r="E3" s="20" t="s">
        <v>36</v>
      </c>
      <c r="G3" s="21" t="s">
        <v>37</v>
      </c>
    </row>
    <row r="4">
      <c r="A4" s="1" t="s">
        <v>38</v>
      </c>
      <c r="B4" s="22"/>
      <c r="C4" s="22">
        <v>25.0</v>
      </c>
      <c r="G4" s="23" t="s">
        <v>39</v>
      </c>
    </row>
    <row r="5">
      <c r="A5" s="1" t="s">
        <v>40</v>
      </c>
      <c r="B5" s="22"/>
      <c r="C5" s="22">
        <v>25.0</v>
      </c>
      <c r="G5" s="24" t="s">
        <v>41</v>
      </c>
    </row>
    <row r="6">
      <c r="A6" s="1" t="s">
        <v>42</v>
      </c>
      <c r="B6" s="22"/>
      <c r="C6" s="22">
        <v>250.0</v>
      </c>
      <c r="G6" s="5" t="s">
        <v>43</v>
      </c>
    </row>
    <row r="7">
      <c r="A7" s="1" t="s">
        <v>44</v>
      </c>
      <c r="B7" s="22"/>
      <c r="C7" s="22">
        <v>3.0</v>
      </c>
      <c r="G7" s="25" t="s">
        <v>45</v>
      </c>
    </row>
    <row r="8">
      <c r="A8" s="1" t="s">
        <v>46</v>
      </c>
      <c r="B8" s="22"/>
      <c r="C8" s="22">
        <v>2.0</v>
      </c>
      <c r="G8" s="26" t="s">
        <v>47</v>
      </c>
    </row>
    <row r="9" ht="16.5" customHeight="1">
      <c r="A9" s="1"/>
      <c r="E9" s="14"/>
    </row>
    <row r="10" ht="32.25" customHeight="1">
      <c r="A10" s="27" t="s">
        <v>48</v>
      </c>
      <c r="B10" s="28" t="s">
        <v>49</v>
      </c>
      <c r="C10" s="27" t="s">
        <v>50</v>
      </c>
      <c r="D10" s="27" t="s">
        <v>51</v>
      </c>
      <c r="E10" s="27" t="s">
        <v>52</v>
      </c>
      <c r="F10" s="27" t="s">
        <v>53</v>
      </c>
      <c r="G10" s="27" t="s">
        <v>54</v>
      </c>
      <c r="H10" s="27" t="s">
        <v>8</v>
      </c>
      <c r="I10" s="27" t="s">
        <v>55</v>
      </c>
      <c r="J10" s="27" t="s">
        <v>56</v>
      </c>
      <c r="K10" s="29" t="s">
        <v>57</v>
      </c>
      <c r="L10" s="29" t="s">
        <v>58</v>
      </c>
      <c r="M10" s="29" t="s">
        <v>59</v>
      </c>
      <c r="N10" s="29" t="s">
        <v>60</v>
      </c>
      <c r="O10" s="29" t="s">
        <v>61</v>
      </c>
      <c r="P10" s="29" t="s">
        <v>62</v>
      </c>
      <c r="Q10" s="30" t="s">
        <v>63</v>
      </c>
    </row>
    <row r="11">
      <c r="A11" s="20">
        <v>2023.0</v>
      </c>
      <c r="B11" s="11" t="s">
        <v>64</v>
      </c>
      <c r="C11" s="31">
        <v>289021.0</v>
      </c>
      <c r="D11" s="32">
        <f t="shared" ref="D11:D13" si="1">C11*$C$3+$D$3</f>
        <v>470388.468</v>
      </c>
      <c r="E11" s="33">
        <f t="shared" ref="E11:E51" si="2">L11+N11</f>
        <v>729.0330893</v>
      </c>
      <c r="F11" s="32">
        <f>D11</f>
        <v>470388.468</v>
      </c>
      <c r="G11" s="32">
        <f t="shared" ref="G11:G36" si="3">D11-F11</f>
        <v>0</v>
      </c>
      <c r="H11" s="34" t="s">
        <v>65</v>
      </c>
      <c r="I11" s="35">
        <v>20106.0</v>
      </c>
      <c r="J11" s="36">
        <f t="shared" ref="J11:J42" si="4">K11+M11</f>
        <v>30376.37872</v>
      </c>
      <c r="K11" s="37">
        <f>D11/$C$4</f>
        <v>18815.53872</v>
      </c>
      <c r="L11" s="38">
        <f t="shared" ref="L11:L28" si="5">K11/$C$6*$C$7*$C$8</f>
        <v>451.5729293</v>
      </c>
      <c r="M11" s="39">
        <f>C11/$C$5</f>
        <v>11560.84</v>
      </c>
      <c r="N11" s="40">
        <f t="shared" ref="N11:N51" si="6">M11/$C$6*$C$7*$C$8</f>
        <v>277.46016</v>
      </c>
      <c r="O11" s="41">
        <f t="shared" ref="O11:O41" si="7">E11-$E$21</f>
        <v>472.4250893</v>
      </c>
      <c r="P11" s="42">
        <f t="shared" ref="P11:P21" si="8">C11/M11</f>
        <v>25</v>
      </c>
      <c r="Q11" s="43">
        <f t="shared" ref="Q11:Q41" si="9">D11/K11</f>
        <v>25</v>
      </c>
    </row>
    <row r="12">
      <c r="A12" s="20">
        <v>2022.0</v>
      </c>
      <c r="B12" s="11" t="s">
        <v>66</v>
      </c>
      <c r="C12" s="31">
        <v>336085.0</v>
      </c>
      <c r="D12" s="32">
        <f t="shared" si="1"/>
        <v>545733.2256</v>
      </c>
      <c r="E12" s="33">
        <f t="shared" si="2"/>
        <v>591.84</v>
      </c>
      <c r="F12" s="44">
        <f t="shared" ref="F12:F28" si="10">K12*$C$4</f>
        <v>233100</v>
      </c>
      <c r="G12" s="32">
        <f t="shared" si="3"/>
        <v>312633.2256</v>
      </c>
      <c r="H12" s="34" t="s">
        <v>67</v>
      </c>
      <c r="I12" s="31">
        <v>24660.0</v>
      </c>
      <c r="J12" s="45">
        <f t="shared" si="4"/>
        <v>24660</v>
      </c>
      <c r="K12" s="46">
        <v>9324.0</v>
      </c>
      <c r="L12" s="38">
        <f t="shared" si="5"/>
        <v>223.776</v>
      </c>
      <c r="M12" s="45">
        <f>I12-K12</f>
        <v>15336</v>
      </c>
      <c r="N12" s="40">
        <f t="shared" si="6"/>
        <v>368.064</v>
      </c>
      <c r="O12" s="41">
        <f t="shared" si="7"/>
        <v>335.232</v>
      </c>
      <c r="P12" s="42">
        <f t="shared" si="8"/>
        <v>21.91477569</v>
      </c>
      <c r="Q12" s="43">
        <f t="shared" si="9"/>
        <v>58.52994698</v>
      </c>
    </row>
    <row r="13">
      <c r="A13" s="20">
        <v>2021.0</v>
      </c>
      <c r="B13" s="11"/>
      <c r="C13" s="31">
        <v>341316.0</v>
      </c>
      <c r="D13" s="32">
        <f t="shared" si="1"/>
        <v>554107.5335</v>
      </c>
      <c r="E13" s="33">
        <f t="shared" si="2"/>
        <v>558.648</v>
      </c>
      <c r="F13" s="44">
        <f t="shared" si="10"/>
        <v>245950</v>
      </c>
      <c r="G13" s="32">
        <f t="shared" si="3"/>
        <v>308157.5335</v>
      </c>
      <c r="H13" s="34" t="s">
        <v>67</v>
      </c>
      <c r="I13" s="31">
        <v>23277.0</v>
      </c>
      <c r="J13" s="45">
        <f t="shared" si="4"/>
        <v>23277</v>
      </c>
      <c r="K13" s="46">
        <v>9838.0</v>
      </c>
      <c r="L13" s="38">
        <f t="shared" si="5"/>
        <v>236.112</v>
      </c>
      <c r="M13" s="47">
        <v>13439.0</v>
      </c>
      <c r="N13" s="40">
        <f t="shared" si="6"/>
        <v>322.536</v>
      </c>
      <c r="O13" s="41">
        <f t="shared" si="7"/>
        <v>302.04</v>
      </c>
      <c r="P13" s="42">
        <f t="shared" si="8"/>
        <v>25.3974254</v>
      </c>
      <c r="Q13" s="43">
        <f t="shared" si="9"/>
        <v>56.32318901</v>
      </c>
    </row>
    <row r="14">
      <c r="A14" s="20">
        <v>2020.0</v>
      </c>
      <c r="B14" s="11"/>
      <c r="C14" s="31">
        <v>388572.0</v>
      </c>
      <c r="D14" s="48">
        <v>605800.0</v>
      </c>
      <c r="E14" s="33">
        <f t="shared" si="2"/>
        <v>683.544</v>
      </c>
      <c r="F14" s="44">
        <f t="shared" si="10"/>
        <v>324150</v>
      </c>
      <c r="G14" s="32">
        <f t="shared" si="3"/>
        <v>281650</v>
      </c>
      <c r="H14" s="34" t="s">
        <v>67</v>
      </c>
      <c r="I14" s="31">
        <v>28481.0</v>
      </c>
      <c r="J14" s="45">
        <f t="shared" si="4"/>
        <v>28481</v>
      </c>
      <c r="K14" s="46">
        <v>12966.0</v>
      </c>
      <c r="L14" s="38">
        <f t="shared" si="5"/>
        <v>311.184</v>
      </c>
      <c r="M14" s="45">
        <f>I14-K14</f>
        <v>15515</v>
      </c>
      <c r="N14" s="40">
        <f t="shared" si="6"/>
        <v>372.36</v>
      </c>
      <c r="O14" s="41">
        <f t="shared" si="7"/>
        <v>426.936</v>
      </c>
      <c r="P14" s="42">
        <f t="shared" si="8"/>
        <v>25.04492427</v>
      </c>
      <c r="Q14" s="43">
        <f t="shared" si="9"/>
        <v>46.72219651</v>
      </c>
    </row>
    <row r="15">
      <c r="A15" s="20">
        <v>2019.0</v>
      </c>
      <c r="B15" s="11"/>
      <c r="C15" s="31">
        <v>279546.0</v>
      </c>
      <c r="D15" s="48">
        <v>517217.0</v>
      </c>
      <c r="E15" s="33">
        <f t="shared" si="2"/>
        <v>467.472</v>
      </c>
      <c r="F15" s="44">
        <f t="shared" si="10"/>
        <v>170175</v>
      </c>
      <c r="G15" s="32">
        <f t="shared" si="3"/>
        <v>347042</v>
      </c>
      <c r="H15" s="34" t="s">
        <v>67</v>
      </c>
      <c r="I15" s="31">
        <v>19478.0</v>
      </c>
      <c r="J15" s="45">
        <f t="shared" si="4"/>
        <v>19478</v>
      </c>
      <c r="K15" s="46">
        <v>6807.0</v>
      </c>
      <c r="L15" s="38">
        <f t="shared" si="5"/>
        <v>163.368</v>
      </c>
      <c r="M15" s="47">
        <v>12671.0</v>
      </c>
      <c r="N15" s="40">
        <f t="shared" si="6"/>
        <v>304.104</v>
      </c>
      <c r="O15" s="41">
        <f t="shared" si="7"/>
        <v>210.864</v>
      </c>
      <c r="P15" s="42">
        <f t="shared" si="8"/>
        <v>22.06187357</v>
      </c>
      <c r="Q15" s="43">
        <f t="shared" si="9"/>
        <v>75.98310563</v>
      </c>
    </row>
    <row r="16">
      <c r="A16" s="20">
        <v>2018.0</v>
      </c>
      <c r="B16" s="11" t="s">
        <v>68</v>
      </c>
      <c r="C16" s="31">
        <v>313276.0</v>
      </c>
      <c r="D16" s="32">
        <f>C16*$C$3+$D$3</f>
        <v>509218.2975</v>
      </c>
      <c r="E16" s="33">
        <f t="shared" si="2"/>
        <v>349.368</v>
      </c>
      <c r="F16" s="44">
        <f t="shared" si="10"/>
        <v>26025</v>
      </c>
      <c r="G16" s="32">
        <f t="shared" si="3"/>
        <v>483193.2975</v>
      </c>
      <c r="H16" s="34" t="s">
        <v>67</v>
      </c>
      <c r="I16" s="31">
        <v>14557.0</v>
      </c>
      <c r="J16" s="45">
        <f t="shared" si="4"/>
        <v>14557</v>
      </c>
      <c r="K16" s="46">
        <v>1041.0</v>
      </c>
      <c r="L16" s="38">
        <f t="shared" si="5"/>
        <v>24.984</v>
      </c>
      <c r="M16" s="47">
        <v>13516.0</v>
      </c>
      <c r="N16" s="40">
        <f t="shared" si="6"/>
        <v>324.384</v>
      </c>
      <c r="O16" s="41">
        <f t="shared" si="7"/>
        <v>92.76</v>
      </c>
      <c r="P16" s="42">
        <f t="shared" si="8"/>
        <v>23.17815922</v>
      </c>
      <c r="Q16" s="43">
        <f t="shared" si="9"/>
        <v>489.1626297</v>
      </c>
    </row>
    <row r="17">
      <c r="A17" s="20">
        <v>2017.0</v>
      </c>
      <c r="B17" s="11"/>
      <c r="C17" s="31">
        <v>370385.0</v>
      </c>
      <c r="D17" s="48">
        <v>566401.0</v>
      </c>
      <c r="E17" s="33">
        <f t="shared" si="2"/>
        <v>343.92</v>
      </c>
      <c r="F17" s="44">
        <f t="shared" si="10"/>
        <v>15175</v>
      </c>
      <c r="G17" s="32">
        <f t="shared" si="3"/>
        <v>551226</v>
      </c>
      <c r="H17" s="34" t="s">
        <v>67</v>
      </c>
      <c r="I17" s="31">
        <v>14330.0</v>
      </c>
      <c r="J17" s="45">
        <f t="shared" si="4"/>
        <v>14330</v>
      </c>
      <c r="K17" s="46">
        <v>607.0</v>
      </c>
      <c r="L17" s="38">
        <f t="shared" si="5"/>
        <v>14.568</v>
      </c>
      <c r="M17" s="47">
        <f t="shared" ref="M17:M18" si="11">I17-K17</f>
        <v>13723</v>
      </c>
      <c r="N17" s="40">
        <f t="shared" si="6"/>
        <v>329.352</v>
      </c>
      <c r="O17" s="41">
        <f t="shared" si="7"/>
        <v>87.312</v>
      </c>
      <c r="P17" s="42">
        <f t="shared" si="8"/>
        <v>26.99008963</v>
      </c>
      <c r="Q17" s="43">
        <f t="shared" si="9"/>
        <v>933.1153213</v>
      </c>
    </row>
    <row r="18">
      <c r="A18" s="20">
        <v>2016.0</v>
      </c>
      <c r="C18" s="31">
        <v>275799.0</v>
      </c>
      <c r="D18" s="48">
        <v>512856.0</v>
      </c>
      <c r="E18" s="33">
        <f t="shared" si="2"/>
        <v>271.32</v>
      </c>
      <c r="F18" s="44">
        <f t="shared" si="10"/>
        <v>19950</v>
      </c>
      <c r="G18" s="32">
        <f t="shared" si="3"/>
        <v>492906</v>
      </c>
      <c r="H18" s="34" t="s">
        <v>67</v>
      </c>
      <c r="I18" s="31">
        <v>11305.0</v>
      </c>
      <c r="J18" s="45">
        <f t="shared" si="4"/>
        <v>11305</v>
      </c>
      <c r="K18" s="46">
        <v>798.0</v>
      </c>
      <c r="L18" s="38">
        <f t="shared" si="5"/>
        <v>19.152</v>
      </c>
      <c r="M18" s="45">
        <f t="shared" si="11"/>
        <v>10507</v>
      </c>
      <c r="N18" s="40">
        <f t="shared" si="6"/>
        <v>252.168</v>
      </c>
      <c r="O18" s="41">
        <f t="shared" si="7"/>
        <v>14.712</v>
      </c>
      <c r="P18" s="42">
        <f t="shared" si="8"/>
        <v>26.24907205</v>
      </c>
      <c r="Q18" s="43">
        <f t="shared" si="9"/>
        <v>642.6766917</v>
      </c>
    </row>
    <row r="19">
      <c r="A19" s="20">
        <v>2015.0</v>
      </c>
      <c r="B19" s="11" t="s">
        <v>69</v>
      </c>
      <c r="C19" s="31">
        <v>244074.0</v>
      </c>
      <c r="D19" s="48">
        <v>424996.0</v>
      </c>
      <c r="E19" s="33">
        <f t="shared" si="2"/>
        <v>209.496</v>
      </c>
      <c r="F19" s="44">
        <f t="shared" si="10"/>
        <v>15975</v>
      </c>
      <c r="G19" s="32">
        <f t="shared" si="3"/>
        <v>409021</v>
      </c>
      <c r="H19" s="34" t="s">
        <v>67</v>
      </c>
      <c r="I19" s="31">
        <v>8729.0</v>
      </c>
      <c r="J19" s="45">
        <f t="shared" si="4"/>
        <v>8729</v>
      </c>
      <c r="K19" s="46">
        <v>639.0</v>
      </c>
      <c r="L19" s="38">
        <f t="shared" si="5"/>
        <v>15.336</v>
      </c>
      <c r="M19" s="47">
        <v>8090.0</v>
      </c>
      <c r="N19" s="40">
        <f t="shared" si="6"/>
        <v>194.16</v>
      </c>
      <c r="O19" s="41">
        <f t="shared" si="7"/>
        <v>-47.112</v>
      </c>
      <c r="P19" s="42">
        <f t="shared" si="8"/>
        <v>30.16983931</v>
      </c>
      <c r="Q19" s="43">
        <f t="shared" si="9"/>
        <v>665.0954617</v>
      </c>
    </row>
    <row r="20">
      <c r="A20" s="20">
        <v>2014.0</v>
      </c>
      <c r="B20" s="11"/>
      <c r="C20" s="31">
        <v>381810.0</v>
      </c>
      <c r="D20" s="48">
        <v>441253.0</v>
      </c>
      <c r="E20" s="33">
        <f t="shared" si="2"/>
        <v>230.448</v>
      </c>
      <c r="F20" s="44">
        <f t="shared" si="10"/>
        <v>29100</v>
      </c>
      <c r="G20" s="32">
        <f t="shared" si="3"/>
        <v>412153</v>
      </c>
      <c r="H20" s="34" t="s">
        <v>67</v>
      </c>
      <c r="I20" s="31">
        <v>9602.0</v>
      </c>
      <c r="J20" s="45">
        <f t="shared" si="4"/>
        <v>9602</v>
      </c>
      <c r="K20" s="46">
        <v>1164.0</v>
      </c>
      <c r="L20" s="38">
        <f t="shared" si="5"/>
        <v>27.936</v>
      </c>
      <c r="M20" s="45">
        <f>I20-K20</f>
        <v>8438</v>
      </c>
      <c r="N20" s="40">
        <f t="shared" si="6"/>
        <v>202.512</v>
      </c>
      <c r="O20" s="41">
        <f t="shared" si="7"/>
        <v>-26.16</v>
      </c>
      <c r="P20" s="42">
        <f t="shared" si="8"/>
        <v>45.24887414</v>
      </c>
      <c r="Q20" s="43">
        <f t="shared" si="9"/>
        <v>379.0833333</v>
      </c>
    </row>
    <row r="21">
      <c r="A21" s="20">
        <v>2013.0</v>
      </c>
      <c r="B21" s="11" t="s">
        <v>70</v>
      </c>
      <c r="C21" s="48">
        <v>341377.0</v>
      </c>
      <c r="D21" s="48">
        <v>552638.0</v>
      </c>
      <c r="E21" s="33">
        <f t="shared" si="2"/>
        <v>256.608</v>
      </c>
      <c r="F21" s="44">
        <f t="shared" si="10"/>
        <v>47100</v>
      </c>
      <c r="G21" s="32">
        <f t="shared" si="3"/>
        <v>505538</v>
      </c>
      <c r="H21" s="34" t="s">
        <v>67</v>
      </c>
      <c r="I21" s="31">
        <f t="shared" ref="I21:I28" si="12">K21+M21</f>
        <v>10692</v>
      </c>
      <c r="J21" s="45">
        <f t="shared" si="4"/>
        <v>10692</v>
      </c>
      <c r="K21" s="46">
        <v>1884.0</v>
      </c>
      <c r="L21" s="38">
        <f t="shared" si="5"/>
        <v>45.216</v>
      </c>
      <c r="M21" s="47">
        <v>8808.0</v>
      </c>
      <c r="N21" s="40">
        <f t="shared" si="6"/>
        <v>211.392</v>
      </c>
      <c r="O21" s="41">
        <f t="shared" si="7"/>
        <v>0</v>
      </c>
      <c r="P21" s="42">
        <f t="shared" si="8"/>
        <v>38.75760672</v>
      </c>
      <c r="Q21" s="43">
        <f t="shared" si="9"/>
        <v>293.3322718</v>
      </c>
    </row>
    <row r="22">
      <c r="A22" s="20">
        <v>2012.0</v>
      </c>
      <c r="C22" s="49">
        <v>360763.0</v>
      </c>
      <c r="D22" s="48">
        <v>591421.0</v>
      </c>
      <c r="E22" s="33">
        <f t="shared" si="2"/>
        <v>270.288</v>
      </c>
      <c r="F22" s="44">
        <f t="shared" si="10"/>
        <v>55850</v>
      </c>
      <c r="G22" s="32">
        <f t="shared" si="3"/>
        <v>535571</v>
      </c>
      <c r="H22" s="34" t="s">
        <v>67</v>
      </c>
      <c r="I22" s="31">
        <f t="shared" si="12"/>
        <v>11262</v>
      </c>
      <c r="J22" s="45">
        <f t="shared" si="4"/>
        <v>11262</v>
      </c>
      <c r="K22" s="46">
        <v>2234.0</v>
      </c>
      <c r="L22" s="38">
        <f t="shared" si="5"/>
        <v>53.616</v>
      </c>
      <c r="M22" s="47">
        <v>9028.0</v>
      </c>
      <c r="N22" s="40">
        <f t="shared" si="6"/>
        <v>216.672</v>
      </c>
      <c r="O22" s="41">
        <f t="shared" si="7"/>
        <v>13.68</v>
      </c>
      <c r="P22" s="42"/>
      <c r="Q22" s="43">
        <f t="shared" si="9"/>
        <v>264.7363474</v>
      </c>
    </row>
    <row r="23">
      <c r="A23" s="20">
        <v>2011.0</v>
      </c>
      <c r="B23" s="11"/>
      <c r="C23" s="48">
        <v>390132.0</v>
      </c>
      <c r="D23" s="48">
        <v>648369.0</v>
      </c>
      <c r="E23" s="33">
        <f t="shared" si="2"/>
        <v>247.584</v>
      </c>
      <c r="F23" s="44">
        <f t="shared" si="10"/>
        <v>24450</v>
      </c>
      <c r="G23" s="32">
        <f t="shared" si="3"/>
        <v>623919</v>
      </c>
      <c r="H23" s="34" t="s">
        <v>67</v>
      </c>
      <c r="I23" s="31">
        <f t="shared" si="12"/>
        <v>10316</v>
      </c>
      <c r="J23" s="45">
        <f t="shared" si="4"/>
        <v>10316</v>
      </c>
      <c r="K23" s="46">
        <v>978.0</v>
      </c>
      <c r="L23" s="38">
        <f t="shared" si="5"/>
        <v>23.472</v>
      </c>
      <c r="M23" s="47">
        <v>9338.0</v>
      </c>
      <c r="N23" s="40">
        <f t="shared" si="6"/>
        <v>224.112</v>
      </c>
      <c r="O23" s="41">
        <f t="shared" si="7"/>
        <v>-9.024</v>
      </c>
      <c r="P23" s="42">
        <f t="shared" ref="P23:P41" si="13">C23/M23</f>
        <v>41.77896766</v>
      </c>
      <c r="Q23" s="43">
        <f t="shared" si="9"/>
        <v>662.9539877</v>
      </c>
    </row>
    <row r="24">
      <c r="A24" s="20">
        <v>2010.0</v>
      </c>
      <c r="B24" s="11"/>
      <c r="C24" s="48">
        <v>321788.0</v>
      </c>
      <c r="D24" s="48">
        <v>541079.0</v>
      </c>
      <c r="E24" s="33">
        <f t="shared" si="2"/>
        <v>240.576</v>
      </c>
      <c r="F24" s="44">
        <f t="shared" si="10"/>
        <v>18350</v>
      </c>
      <c r="G24" s="32">
        <f t="shared" si="3"/>
        <v>522729</v>
      </c>
      <c r="H24" s="34" t="s">
        <v>67</v>
      </c>
      <c r="I24" s="31">
        <f t="shared" si="12"/>
        <v>10024</v>
      </c>
      <c r="J24" s="45">
        <f t="shared" si="4"/>
        <v>10024</v>
      </c>
      <c r="K24" s="46">
        <v>734.0</v>
      </c>
      <c r="L24" s="38">
        <f t="shared" si="5"/>
        <v>17.616</v>
      </c>
      <c r="M24" s="47">
        <v>9290.0</v>
      </c>
      <c r="N24" s="40">
        <f t="shared" si="6"/>
        <v>222.96</v>
      </c>
      <c r="O24" s="41">
        <f t="shared" si="7"/>
        <v>-16.032</v>
      </c>
      <c r="P24" s="42">
        <f t="shared" si="13"/>
        <v>34.63810549</v>
      </c>
      <c r="Q24" s="43">
        <f t="shared" si="9"/>
        <v>737.1648501</v>
      </c>
    </row>
    <row r="25">
      <c r="A25" s="20">
        <v>2009.0</v>
      </c>
      <c r="B25" s="11" t="s">
        <v>71</v>
      </c>
      <c r="C25" s="48">
        <v>281906.0</v>
      </c>
      <c r="D25" s="48">
        <v>463398.0</v>
      </c>
      <c r="E25" s="33">
        <f t="shared" si="2"/>
        <v>235.176</v>
      </c>
      <c r="F25" s="44">
        <f t="shared" si="10"/>
        <v>9800</v>
      </c>
      <c r="G25" s="32">
        <f t="shared" si="3"/>
        <v>453598</v>
      </c>
      <c r="H25" s="34" t="s">
        <v>67</v>
      </c>
      <c r="I25" s="31">
        <f t="shared" si="12"/>
        <v>9799</v>
      </c>
      <c r="J25" s="45">
        <f t="shared" si="4"/>
        <v>9799</v>
      </c>
      <c r="K25" s="46">
        <v>392.0</v>
      </c>
      <c r="L25" s="38">
        <f t="shared" si="5"/>
        <v>9.408</v>
      </c>
      <c r="M25" s="47">
        <v>9407.0</v>
      </c>
      <c r="N25" s="40">
        <f t="shared" si="6"/>
        <v>225.768</v>
      </c>
      <c r="O25" s="41">
        <f t="shared" si="7"/>
        <v>-21.432</v>
      </c>
      <c r="P25" s="42">
        <f t="shared" si="13"/>
        <v>29.96768364</v>
      </c>
      <c r="Q25" s="43">
        <f t="shared" si="9"/>
        <v>1182.137755</v>
      </c>
    </row>
    <row r="26">
      <c r="A26" s="20">
        <v>2008.0</v>
      </c>
      <c r="C26" s="48">
        <v>311302.0</v>
      </c>
      <c r="D26" s="48">
        <v>501317.0</v>
      </c>
      <c r="E26" s="33">
        <f t="shared" si="2"/>
        <v>427.32</v>
      </c>
      <c r="F26" s="44">
        <f t="shared" si="10"/>
        <v>25875</v>
      </c>
      <c r="G26" s="32">
        <f t="shared" si="3"/>
        <v>475442</v>
      </c>
      <c r="H26" s="34" t="s">
        <v>67</v>
      </c>
      <c r="I26" s="31">
        <f t="shared" si="12"/>
        <v>17805</v>
      </c>
      <c r="J26" s="45">
        <f t="shared" si="4"/>
        <v>17805</v>
      </c>
      <c r="K26" s="46">
        <v>1035.0</v>
      </c>
      <c r="L26" s="38">
        <f t="shared" si="5"/>
        <v>24.84</v>
      </c>
      <c r="M26" s="47">
        <v>16770.0</v>
      </c>
      <c r="N26" s="40">
        <f t="shared" si="6"/>
        <v>402.48</v>
      </c>
      <c r="O26" s="41">
        <f t="shared" si="7"/>
        <v>170.712</v>
      </c>
      <c r="P26" s="42">
        <f t="shared" si="13"/>
        <v>18.56302922</v>
      </c>
      <c r="Q26" s="43">
        <f t="shared" si="9"/>
        <v>484.3642512</v>
      </c>
    </row>
    <row r="27">
      <c r="A27" s="20">
        <v>2007.0</v>
      </c>
      <c r="B27" s="11" t="s">
        <v>72</v>
      </c>
      <c r="C27" s="48">
        <v>479225.0</v>
      </c>
      <c r="D27" s="48">
        <v>788780.0</v>
      </c>
      <c r="E27" s="33">
        <f t="shared" si="2"/>
        <v>504.192</v>
      </c>
      <c r="F27" s="44">
        <f t="shared" si="10"/>
        <v>23750</v>
      </c>
      <c r="G27" s="32">
        <f t="shared" si="3"/>
        <v>765030</v>
      </c>
      <c r="H27" s="34" t="s">
        <v>67</v>
      </c>
      <c r="I27" s="31">
        <f t="shared" si="12"/>
        <v>21008</v>
      </c>
      <c r="J27" s="45">
        <f t="shared" si="4"/>
        <v>21008</v>
      </c>
      <c r="K27" s="46">
        <v>950.0</v>
      </c>
      <c r="L27" s="38">
        <f t="shared" si="5"/>
        <v>22.8</v>
      </c>
      <c r="M27" s="47">
        <v>20058.0</v>
      </c>
      <c r="N27" s="40">
        <f t="shared" si="6"/>
        <v>481.392</v>
      </c>
      <c r="O27" s="41">
        <f t="shared" si="7"/>
        <v>247.584</v>
      </c>
      <c r="P27" s="42">
        <f t="shared" si="13"/>
        <v>23.89196331</v>
      </c>
      <c r="Q27" s="43">
        <f t="shared" si="9"/>
        <v>830.2947368</v>
      </c>
    </row>
    <row r="28">
      <c r="A28" s="20">
        <v>2006.0</v>
      </c>
      <c r="B28" s="11" t="s">
        <v>73</v>
      </c>
      <c r="C28" s="48">
        <v>466173.0</v>
      </c>
      <c r="D28" s="48">
        <v>734456.0</v>
      </c>
      <c r="E28" s="33">
        <f t="shared" si="2"/>
        <v>466.344</v>
      </c>
      <c r="F28" s="44">
        <f t="shared" si="10"/>
        <v>23875</v>
      </c>
      <c r="G28" s="32">
        <f t="shared" si="3"/>
        <v>710581</v>
      </c>
      <c r="H28" s="34" t="s">
        <v>67</v>
      </c>
      <c r="I28" s="31">
        <f t="shared" si="12"/>
        <v>19431</v>
      </c>
      <c r="J28" s="45">
        <f t="shared" si="4"/>
        <v>19431</v>
      </c>
      <c r="K28" s="46">
        <v>955.0</v>
      </c>
      <c r="L28" s="38">
        <f t="shared" si="5"/>
        <v>22.92</v>
      </c>
      <c r="M28" s="47">
        <v>18476.0</v>
      </c>
      <c r="N28" s="40">
        <f t="shared" si="6"/>
        <v>443.424</v>
      </c>
      <c r="O28" s="41">
        <f t="shared" si="7"/>
        <v>209.736</v>
      </c>
      <c r="P28" s="42">
        <f t="shared" si="13"/>
        <v>25.231273</v>
      </c>
      <c r="Q28" s="43">
        <f t="shared" si="9"/>
        <v>769.0638743</v>
      </c>
    </row>
    <row r="29">
      <c r="A29" s="20">
        <v>2005.0</v>
      </c>
      <c r="B29" s="11"/>
      <c r="C29" s="48">
        <v>440384.0</v>
      </c>
      <c r="D29" s="48">
        <v>739260.0</v>
      </c>
      <c r="E29" s="33">
        <f t="shared" si="2"/>
        <v>439.2069962</v>
      </c>
      <c r="F29" s="44">
        <f t="shared" ref="F29:F39" si="14">$C$4*K29</f>
        <v>25000</v>
      </c>
      <c r="G29" s="32">
        <f t="shared" si="3"/>
        <v>714260</v>
      </c>
      <c r="H29" s="34" t="s">
        <v>0</v>
      </c>
      <c r="I29" s="35" t="s">
        <v>74</v>
      </c>
      <c r="J29" s="36">
        <f t="shared" si="4"/>
        <v>18615.36</v>
      </c>
      <c r="K29" s="50">
        <v>1000.0</v>
      </c>
      <c r="L29" s="38">
        <f t="shared" ref="L29:L39" si="15">K29/365*2*3</f>
        <v>16.43835616</v>
      </c>
      <c r="M29" s="36">
        <f t="shared" ref="M29:M39" si="16">C29/$C$5</f>
        <v>17615.36</v>
      </c>
      <c r="N29" s="51">
        <f t="shared" si="6"/>
        <v>422.76864</v>
      </c>
      <c r="O29" s="41">
        <f t="shared" si="7"/>
        <v>182.5989962</v>
      </c>
      <c r="P29" s="42">
        <f t="shared" si="13"/>
        <v>25</v>
      </c>
      <c r="Q29" s="43">
        <f t="shared" si="9"/>
        <v>739.26</v>
      </c>
    </row>
    <row r="30">
      <c r="A30" s="20">
        <v>2004.0</v>
      </c>
      <c r="B30" s="11"/>
      <c r="C30" s="48">
        <v>472053.0</v>
      </c>
      <c r="D30" s="48">
        <v>791866.0</v>
      </c>
      <c r="E30" s="33">
        <f t="shared" si="2"/>
        <v>469.6092362</v>
      </c>
      <c r="F30" s="44">
        <f t="shared" si="14"/>
        <v>25000</v>
      </c>
      <c r="G30" s="32">
        <f t="shared" si="3"/>
        <v>766866</v>
      </c>
      <c r="H30" s="34" t="s">
        <v>0</v>
      </c>
      <c r="I30" s="35" t="s">
        <v>74</v>
      </c>
      <c r="J30" s="36">
        <f t="shared" si="4"/>
        <v>19882.12</v>
      </c>
      <c r="K30" s="50">
        <v>1000.0</v>
      </c>
      <c r="L30" s="38">
        <f t="shared" si="15"/>
        <v>16.43835616</v>
      </c>
      <c r="M30" s="36">
        <f t="shared" si="16"/>
        <v>18882.12</v>
      </c>
      <c r="N30" s="51">
        <f t="shared" si="6"/>
        <v>453.17088</v>
      </c>
      <c r="O30" s="41">
        <f t="shared" si="7"/>
        <v>213.0012362</v>
      </c>
      <c r="P30" s="42">
        <f t="shared" si="13"/>
        <v>25</v>
      </c>
      <c r="Q30" s="43">
        <f t="shared" si="9"/>
        <v>791.866</v>
      </c>
    </row>
    <row r="31">
      <c r="A31" s="20">
        <v>2003.0</v>
      </c>
      <c r="B31" s="11"/>
      <c r="C31" s="48">
        <v>516251.0</v>
      </c>
      <c r="D31" s="48">
        <v>830428.0</v>
      </c>
      <c r="E31" s="33">
        <f t="shared" si="2"/>
        <v>512.0393162</v>
      </c>
      <c r="F31" s="44">
        <f t="shared" si="14"/>
        <v>25000</v>
      </c>
      <c r="G31" s="32">
        <f t="shared" si="3"/>
        <v>805428</v>
      </c>
      <c r="H31" s="34" t="s">
        <v>0</v>
      </c>
      <c r="I31" s="35" t="s">
        <v>74</v>
      </c>
      <c r="J31" s="36">
        <f t="shared" si="4"/>
        <v>21650.04</v>
      </c>
      <c r="K31" s="50">
        <v>1000.0</v>
      </c>
      <c r="L31" s="38">
        <f t="shared" si="15"/>
        <v>16.43835616</v>
      </c>
      <c r="M31" s="36">
        <f t="shared" si="16"/>
        <v>20650.04</v>
      </c>
      <c r="N31" s="51">
        <f t="shared" si="6"/>
        <v>495.60096</v>
      </c>
      <c r="O31" s="41">
        <f t="shared" si="7"/>
        <v>255.4313162</v>
      </c>
      <c r="P31" s="42">
        <f t="shared" si="13"/>
        <v>25</v>
      </c>
      <c r="Q31" s="43">
        <f t="shared" si="9"/>
        <v>830.428</v>
      </c>
    </row>
    <row r="32">
      <c r="A32" s="20">
        <v>2002.0</v>
      </c>
      <c r="B32" s="11"/>
      <c r="C32" s="48">
        <v>472945.0</v>
      </c>
      <c r="D32" s="48">
        <v>736289.0</v>
      </c>
      <c r="E32" s="33">
        <f t="shared" si="2"/>
        <v>470.4655562</v>
      </c>
      <c r="F32" s="44">
        <f t="shared" si="14"/>
        <v>25000</v>
      </c>
      <c r="G32" s="32">
        <f t="shared" si="3"/>
        <v>711289</v>
      </c>
      <c r="H32" s="34" t="s">
        <v>0</v>
      </c>
      <c r="I32" s="35" t="s">
        <v>74</v>
      </c>
      <c r="J32" s="36">
        <f t="shared" si="4"/>
        <v>19917.8</v>
      </c>
      <c r="K32" s="50">
        <v>1000.0</v>
      </c>
      <c r="L32" s="38">
        <f t="shared" si="15"/>
        <v>16.43835616</v>
      </c>
      <c r="M32" s="36">
        <f t="shared" si="16"/>
        <v>18917.8</v>
      </c>
      <c r="N32" s="51">
        <f t="shared" si="6"/>
        <v>454.0272</v>
      </c>
      <c r="O32" s="41">
        <f t="shared" si="7"/>
        <v>213.8575562</v>
      </c>
      <c r="P32" s="42">
        <f t="shared" si="13"/>
        <v>25</v>
      </c>
      <c r="Q32" s="43">
        <f t="shared" si="9"/>
        <v>736.289</v>
      </c>
    </row>
    <row r="33">
      <c r="A33" s="20">
        <v>2001.0</v>
      </c>
      <c r="B33" s="52" t="s">
        <v>75</v>
      </c>
      <c r="C33" s="48">
        <v>508733.0</v>
      </c>
      <c r="D33" s="48">
        <v>760801.0</v>
      </c>
      <c r="E33" s="33">
        <f t="shared" si="2"/>
        <v>504.8220362</v>
      </c>
      <c r="F33" s="44">
        <f t="shared" si="14"/>
        <v>25000</v>
      </c>
      <c r="G33" s="32">
        <f t="shared" si="3"/>
        <v>735801</v>
      </c>
      <c r="H33" s="34" t="s">
        <v>0</v>
      </c>
      <c r="I33" s="35" t="s">
        <v>74</v>
      </c>
      <c r="J33" s="36">
        <f t="shared" si="4"/>
        <v>21349.32</v>
      </c>
      <c r="K33" s="50">
        <v>1000.0</v>
      </c>
      <c r="L33" s="38">
        <f t="shared" si="15"/>
        <v>16.43835616</v>
      </c>
      <c r="M33" s="36">
        <f t="shared" si="16"/>
        <v>20349.32</v>
      </c>
      <c r="N33" s="51">
        <f t="shared" si="6"/>
        <v>488.38368</v>
      </c>
      <c r="O33" s="41">
        <f t="shared" si="7"/>
        <v>248.2140362</v>
      </c>
      <c r="P33" s="42">
        <f t="shared" si="13"/>
        <v>25</v>
      </c>
      <c r="Q33" s="43">
        <f t="shared" si="9"/>
        <v>760.801</v>
      </c>
    </row>
    <row r="34">
      <c r="A34" s="20">
        <v>2000.0</v>
      </c>
      <c r="B34" s="11" t="s">
        <v>76</v>
      </c>
      <c r="C34" s="48">
        <v>541747.0</v>
      </c>
      <c r="D34" s="48">
        <v>846129.0</v>
      </c>
      <c r="E34" s="33">
        <f t="shared" si="2"/>
        <v>536.5154762</v>
      </c>
      <c r="F34" s="44">
        <f t="shared" si="14"/>
        <v>25000</v>
      </c>
      <c r="G34" s="32">
        <f t="shared" si="3"/>
        <v>821129</v>
      </c>
      <c r="H34" s="34" t="s">
        <v>0</v>
      </c>
      <c r="I34" s="35" t="s">
        <v>74</v>
      </c>
      <c r="J34" s="36">
        <f t="shared" si="4"/>
        <v>22669.88</v>
      </c>
      <c r="K34" s="50">
        <v>1000.0</v>
      </c>
      <c r="L34" s="38">
        <f t="shared" si="15"/>
        <v>16.43835616</v>
      </c>
      <c r="M34" s="36">
        <f t="shared" si="16"/>
        <v>21669.88</v>
      </c>
      <c r="N34" s="51">
        <f t="shared" si="6"/>
        <v>520.07712</v>
      </c>
      <c r="O34" s="41">
        <f t="shared" si="7"/>
        <v>279.9074762</v>
      </c>
      <c r="P34" s="42">
        <f t="shared" si="13"/>
        <v>25</v>
      </c>
      <c r="Q34" s="43">
        <f t="shared" si="9"/>
        <v>846.129</v>
      </c>
    </row>
    <row r="35">
      <c r="A35" s="20">
        <v>1999.0</v>
      </c>
      <c r="B35" s="11" t="s">
        <v>77</v>
      </c>
      <c r="C35" s="48">
        <v>500031.0</v>
      </c>
      <c r="D35" s="48">
        <v>845049.0</v>
      </c>
      <c r="E35" s="33">
        <f t="shared" si="2"/>
        <v>496.4681162</v>
      </c>
      <c r="F35" s="44">
        <f t="shared" si="14"/>
        <v>25000</v>
      </c>
      <c r="G35" s="32">
        <f t="shared" si="3"/>
        <v>820049</v>
      </c>
      <c r="H35" s="34" t="s">
        <v>0</v>
      </c>
      <c r="I35" s="35" t="s">
        <v>74</v>
      </c>
      <c r="J35" s="36">
        <f t="shared" si="4"/>
        <v>21001.24</v>
      </c>
      <c r="K35" s="50">
        <v>1000.0</v>
      </c>
      <c r="L35" s="38">
        <f t="shared" si="15"/>
        <v>16.43835616</v>
      </c>
      <c r="M35" s="36">
        <f t="shared" si="16"/>
        <v>20001.24</v>
      </c>
      <c r="N35" s="51">
        <f t="shared" si="6"/>
        <v>480.02976</v>
      </c>
      <c r="O35" s="41">
        <f t="shared" si="7"/>
        <v>239.8601162</v>
      </c>
      <c r="P35" s="42">
        <f t="shared" si="13"/>
        <v>25</v>
      </c>
      <c r="Q35" s="43">
        <f t="shared" si="9"/>
        <v>845.049</v>
      </c>
    </row>
    <row r="36">
      <c r="A36" s="20">
        <v>1998.0</v>
      </c>
      <c r="B36" s="52" t="s">
        <v>78</v>
      </c>
      <c r="C36" s="48">
        <v>503192.0</v>
      </c>
      <c r="D36" s="48">
        <v>826631.0</v>
      </c>
      <c r="E36" s="33">
        <f t="shared" si="2"/>
        <v>499.5026762</v>
      </c>
      <c r="F36" s="44">
        <f t="shared" si="14"/>
        <v>25000</v>
      </c>
      <c r="G36" s="32">
        <f t="shared" si="3"/>
        <v>801631</v>
      </c>
      <c r="H36" s="34" t="s">
        <v>0</v>
      </c>
      <c r="I36" s="35" t="s">
        <v>74</v>
      </c>
      <c r="J36" s="36">
        <f t="shared" si="4"/>
        <v>21127.68</v>
      </c>
      <c r="K36" s="50">
        <v>1000.0</v>
      </c>
      <c r="L36" s="38">
        <f t="shared" si="15"/>
        <v>16.43835616</v>
      </c>
      <c r="M36" s="36">
        <f t="shared" si="16"/>
        <v>20127.68</v>
      </c>
      <c r="N36" s="51">
        <f t="shared" si="6"/>
        <v>483.06432</v>
      </c>
      <c r="O36" s="41">
        <f t="shared" si="7"/>
        <v>242.8946762</v>
      </c>
      <c r="P36" s="42">
        <f t="shared" si="13"/>
        <v>25</v>
      </c>
      <c r="Q36" s="43">
        <f t="shared" si="9"/>
        <v>826.631</v>
      </c>
    </row>
    <row r="37">
      <c r="A37" s="20">
        <v>1997.0</v>
      </c>
      <c r="B37" s="11" t="s">
        <v>79</v>
      </c>
      <c r="C37" s="48">
        <v>458694.0</v>
      </c>
      <c r="D37" s="53"/>
      <c r="E37" s="33">
        <f t="shared" si="2"/>
        <v>456.7845962</v>
      </c>
      <c r="F37" s="44">
        <f t="shared" si="14"/>
        <v>25000</v>
      </c>
      <c r="G37" s="32">
        <v>100000.0</v>
      </c>
      <c r="H37" s="34" t="s">
        <v>0</v>
      </c>
      <c r="I37" s="35" t="s">
        <v>74</v>
      </c>
      <c r="J37" s="36">
        <f t="shared" si="4"/>
        <v>19347.76</v>
      </c>
      <c r="K37" s="50">
        <v>1000.0</v>
      </c>
      <c r="L37" s="38">
        <f t="shared" si="15"/>
        <v>16.43835616</v>
      </c>
      <c r="M37" s="36">
        <f t="shared" si="16"/>
        <v>18347.76</v>
      </c>
      <c r="N37" s="51">
        <f t="shared" si="6"/>
        <v>440.34624</v>
      </c>
      <c r="O37" s="41">
        <f t="shared" si="7"/>
        <v>200.1765962</v>
      </c>
      <c r="P37" s="42">
        <f t="shared" si="13"/>
        <v>25</v>
      </c>
      <c r="Q37" s="43">
        <f t="shared" si="9"/>
        <v>0</v>
      </c>
    </row>
    <row r="38">
      <c r="A38" s="20">
        <v>1996.0</v>
      </c>
      <c r="B38" s="11" t="s">
        <v>80</v>
      </c>
      <c r="C38" s="48">
        <v>430272.0</v>
      </c>
      <c r="D38" s="48">
        <v>754404.0</v>
      </c>
      <c r="E38" s="33">
        <f t="shared" si="2"/>
        <v>429.4994762</v>
      </c>
      <c r="F38" s="44">
        <f t="shared" si="14"/>
        <v>25000</v>
      </c>
      <c r="G38" s="32">
        <f t="shared" ref="G38:G42" si="17">D38-F38</f>
        <v>729404</v>
      </c>
      <c r="H38" s="34" t="s">
        <v>0</v>
      </c>
      <c r="I38" s="35" t="s">
        <v>74</v>
      </c>
      <c r="J38" s="36">
        <f t="shared" si="4"/>
        <v>18210.88</v>
      </c>
      <c r="K38" s="50">
        <v>1000.0</v>
      </c>
      <c r="L38" s="38">
        <f t="shared" si="15"/>
        <v>16.43835616</v>
      </c>
      <c r="M38" s="36">
        <f t="shared" si="16"/>
        <v>17210.88</v>
      </c>
      <c r="N38" s="51">
        <f t="shared" si="6"/>
        <v>413.06112</v>
      </c>
      <c r="O38" s="41">
        <f t="shared" si="7"/>
        <v>172.8914762</v>
      </c>
      <c r="P38" s="42">
        <f t="shared" si="13"/>
        <v>25</v>
      </c>
      <c r="Q38" s="43">
        <f t="shared" si="9"/>
        <v>754.404</v>
      </c>
    </row>
    <row r="39">
      <c r="A39" s="20">
        <v>1995.0</v>
      </c>
      <c r="B39" s="11"/>
      <c r="C39" s="48">
        <v>425274.0</v>
      </c>
      <c r="D39" s="48">
        <v>735768.0</v>
      </c>
      <c r="E39" s="33">
        <f t="shared" si="2"/>
        <v>424.7013962</v>
      </c>
      <c r="F39" s="44">
        <f t="shared" si="14"/>
        <v>25000</v>
      </c>
      <c r="G39" s="32">
        <f t="shared" si="17"/>
        <v>710768</v>
      </c>
      <c r="H39" s="34" t="s">
        <v>0</v>
      </c>
      <c r="I39" s="35" t="s">
        <v>74</v>
      </c>
      <c r="J39" s="36">
        <f t="shared" si="4"/>
        <v>18010.96</v>
      </c>
      <c r="K39" s="50">
        <v>1000.0</v>
      </c>
      <c r="L39" s="38">
        <f t="shared" si="15"/>
        <v>16.43835616</v>
      </c>
      <c r="M39" s="36">
        <f t="shared" si="16"/>
        <v>17010.96</v>
      </c>
      <c r="N39" s="51">
        <f t="shared" si="6"/>
        <v>408.26304</v>
      </c>
      <c r="O39" s="41">
        <f t="shared" si="7"/>
        <v>168.0933962</v>
      </c>
      <c r="P39" s="42">
        <f t="shared" si="13"/>
        <v>25</v>
      </c>
      <c r="Q39" s="43">
        <f t="shared" si="9"/>
        <v>735.768</v>
      </c>
    </row>
    <row r="40">
      <c r="A40" s="20">
        <v>1994.0</v>
      </c>
      <c r="B40" s="54" t="s">
        <v>81</v>
      </c>
      <c r="C40" s="55">
        <v>286048.0</v>
      </c>
      <c r="D40" s="48">
        <v>418505.0</v>
      </c>
      <c r="E40" s="33">
        <f t="shared" si="2"/>
        <v>329.07552</v>
      </c>
      <c r="F40" s="48">
        <v>56739.0</v>
      </c>
      <c r="G40" s="32">
        <f t="shared" si="17"/>
        <v>361766</v>
      </c>
      <c r="H40" s="34" t="s">
        <v>0</v>
      </c>
      <c r="I40" s="35" t="s">
        <v>74</v>
      </c>
      <c r="J40" s="38">
        <f t="shared" si="4"/>
        <v>13711.48</v>
      </c>
      <c r="K40" s="38">
        <f t="shared" ref="K40:K42" si="18">F40/$C$4</f>
        <v>2269.56</v>
      </c>
      <c r="L40" s="38">
        <f t="shared" ref="L40:L41" si="19">K40/$C$6*$C$7*$C$8</f>
        <v>54.46944</v>
      </c>
      <c r="M40" s="36">
        <f t="shared" ref="M40:M51" si="20">C40/$C$4</f>
        <v>11441.92</v>
      </c>
      <c r="N40" s="40">
        <f t="shared" si="6"/>
        <v>274.60608</v>
      </c>
      <c r="O40" s="41">
        <f t="shared" si="7"/>
        <v>72.46752</v>
      </c>
      <c r="P40" s="42">
        <f t="shared" si="13"/>
        <v>25</v>
      </c>
      <c r="Q40" s="43">
        <f t="shared" si="9"/>
        <v>184.3991787</v>
      </c>
    </row>
    <row r="41">
      <c r="A41" s="20">
        <v>1993.0</v>
      </c>
      <c r="B41" s="11" t="s">
        <v>82</v>
      </c>
      <c r="C41" s="31">
        <v>419230.0</v>
      </c>
      <c r="D41" s="32">
        <f t="shared" ref="D41:D42" si="21">C41*$C$3+$D$3</f>
        <v>678840.0561</v>
      </c>
      <c r="E41" s="33">
        <f t="shared" si="2"/>
        <v>578.76768</v>
      </c>
      <c r="F41" s="48">
        <v>183653.0</v>
      </c>
      <c r="G41" s="32">
        <f t="shared" si="17"/>
        <v>495187.0561</v>
      </c>
      <c r="H41" s="34" t="s">
        <v>65</v>
      </c>
      <c r="I41" s="35">
        <v>30716.0</v>
      </c>
      <c r="J41" s="38">
        <f t="shared" si="4"/>
        <v>24115.32</v>
      </c>
      <c r="K41" s="38">
        <f t="shared" si="18"/>
        <v>7346.12</v>
      </c>
      <c r="L41" s="38">
        <f t="shared" si="19"/>
        <v>176.30688</v>
      </c>
      <c r="M41" s="36">
        <f t="shared" si="20"/>
        <v>16769.2</v>
      </c>
      <c r="N41" s="40">
        <f t="shared" si="6"/>
        <v>402.4608</v>
      </c>
      <c r="O41" s="41">
        <f t="shared" si="7"/>
        <v>322.15968</v>
      </c>
      <c r="P41" s="42">
        <f t="shared" si="13"/>
        <v>25</v>
      </c>
      <c r="Q41" s="43">
        <f t="shared" si="9"/>
        <v>92.40797266</v>
      </c>
    </row>
    <row r="42">
      <c r="A42" s="20">
        <v>1992.0</v>
      </c>
      <c r="B42" s="11"/>
      <c r="C42" s="31">
        <v>403670.0</v>
      </c>
      <c r="D42" s="32">
        <f t="shared" si="21"/>
        <v>653930.0521</v>
      </c>
      <c r="E42" s="33">
        <f t="shared" si="2"/>
        <v>403.9615562</v>
      </c>
      <c r="F42" s="56">
        <v>25000.0</v>
      </c>
      <c r="G42" s="32">
        <f t="shared" si="17"/>
        <v>628930.0521</v>
      </c>
      <c r="H42" s="34" t="s">
        <v>65</v>
      </c>
      <c r="I42" s="35">
        <v>29448.0</v>
      </c>
      <c r="J42" s="38">
        <f t="shared" si="4"/>
        <v>17146.8</v>
      </c>
      <c r="K42" s="38">
        <f t="shared" si="18"/>
        <v>1000</v>
      </c>
      <c r="L42" s="57">
        <f t="shared" ref="L42:L51" si="22">K42/365*2*3</f>
        <v>16.43835616</v>
      </c>
      <c r="M42" s="57">
        <f t="shared" si="20"/>
        <v>16146.8</v>
      </c>
      <c r="N42" s="58">
        <f t="shared" si="6"/>
        <v>387.5232</v>
      </c>
    </row>
    <row r="43">
      <c r="A43" s="20">
        <v>1991.0</v>
      </c>
      <c r="B43" s="20"/>
      <c r="C43" s="31"/>
      <c r="D43" s="53"/>
      <c r="E43" s="59">
        <f t="shared" si="2"/>
        <v>0</v>
      </c>
      <c r="F43" s="34"/>
      <c r="G43" s="34"/>
      <c r="H43" s="34"/>
      <c r="I43" s="34"/>
      <c r="J43" s="57"/>
      <c r="K43" s="38"/>
      <c r="L43" s="57">
        <f t="shared" si="22"/>
        <v>0</v>
      </c>
      <c r="M43" s="57">
        <f t="shared" si="20"/>
        <v>0</v>
      </c>
      <c r="N43" s="58">
        <f t="shared" si="6"/>
        <v>0</v>
      </c>
    </row>
    <row r="44">
      <c r="A44" s="20">
        <v>1990.0</v>
      </c>
      <c r="B44" s="11"/>
      <c r="C44" s="31">
        <v>351419.0</v>
      </c>
      <c r="D44" s="48">
        <v>590810.0</v>
      </c>
      <c r="E44" s="59">
        <f t="shared" si="2"/>
        <v>353.8005962</v>
      </c>
      <c r="F44" s="56">
        <v>25000.0</v>
      </c>
      <c r="G44" s="32">
        <f t="shared" ref="G44:G45" si="23">D44-F44</f>
        <v>565810</v>
      </c>
      <c r="H44" s="34" t="s">
        <v>65</v>
      </c>
      <c r="I44" s="35">
        <v>25191.0</v>
      </c>
      <c r="J44" s="38">
        <f t="shared" ref="J44:J45" si="24">K44+M44</f>
        <v>15056.76</v>
      </c>
      <c r="K44" s="38">
        <f t="shared" ref="K44:K45" si="25">F44/$C$4</f>
        <v>1000</v>
      </c>
      <c r="L44" s="57">
        <f t="shared" si="22"/>
        <v>16.43835616</v>
      </c>
      <c r="M44" s="57">
        <f t="shared" si="20"/>
        <v>14056.76</v>
      </c>
      <c r="N44" s="58">
        <f t="shared" si="6"/>
        <v>337.36224</v>
      </c>
    </row>
    <row r="45">
      <c r="A45" s="20">
        <v>1989.0</v>
      </c>
      <c r="B45" s="11"/>
      <c r="C45" s="31">
        <v>350316.0</v>
      </c>
      <c r="D45" s="48">
        <v>624874.0</v>
      </c>
      <c r="E45" s="59">
        <f t="shared" si="2"/>
        <v>352.7417162</v>
      </c>
      <c r="F45" s="56">
        <v>25000.0</v>
      </c>
      <c r="G45" s="32">
        <f t="shared" si="23"/>
        <v>599874</v>
      </c>
      <c r="H45" s="34" t="s">
        <v>65</v>
      </c>
      <c r="I45" s="35">
        <v>25101.0</v>
      </c>
      <c r="J45" s="38">
        <f t="shared" si="24"/>
        <v>15012.64</v>
      </c>
      <c r="K45" s="38">
        <f t="shared" si="25"/>
        <v>1000</v>
      </c>
      <c r="L45" s="57">
        <f t="shared" si="22"/>
        <v>16.43835616</v>
      </c>
      <c r="M45" s="57">
        <f t="shared" si="20"/>
        <v>14012.64</v>
      </c>
      <c r="N45" s="58">
        <f t="shared" si="6"/>
        <v>336.30336</v>
      </c>
    </row>
    <row r="46">
      <c r="A46" s="20">
        <v>1988.0</v>
      </c>
      <c r="B46" s="20"/>
      <c r="C46" s="31"/>
      <c r="D46" s="53"/>
      <c r="E46" s="59">
        <f t="shared" si="2"/>
        <v>0</v>
      </c>
      <c r="F46" s="34"/>
      <c r="G46" s="34"/>
      <c r="H46" s="34"/>
      <c r="I46" s="34"/>
      <c r="J46" s="57"/>
      <c r="K46" s="38"/>
      <c r="L46" s="57">
        <f t="shared" si="22"/>
        <v>0</v>
      </c>
      <c r="M46" s="57">
        <f t="shared" si="20"/>
        <v>0</v>
      </c>
      <c r="N46" s="58">
        <f t="shared" si="6"/>
        <v>0</v>
      </c>
    </row>
    <row r="47">
      <c r="A47" s="20">
        <v>1987.0</v>
      </c>
      <c r="B47" s="11"/>
      <c r="C47" s="31">
        <v>366901.0</v>
      </c>
      <c r="D47" s="48">
        <v>493292.0</v>
      </c>
      <c r="E47" s="59">
        <f t="shared" si="2"/>
        <v>368.6633162</v>
      </c>
      <c r="F47" s="56">
        <v>25000.0</v>
      </c>
      <c r="G47" s="32">
        <f t="shared" ref="G47:G51" si="26">D47-F47</f>
        <v>468292</v>
      </c>
      <c r="H47" s="34" t="s">
        <v>65</v>
      </c>
      <c r="I47" s="35">
        <v>26452.0</v>
      </c>
      <c r="J47" s="38">
        <f>K47+M47</f>
        <v>15676.04</v>
      </c>
      <c r="K47" s="38">
        <f t="shared" ref="K47:K51" si="27">F47/$C$4</f>
        <v>1000</v>
      </c>
      <c r="L47" s="57">
        <f t="shared" si="22"/>
        <v>16.43835616</v>
      </c>
      <c r="M47" s="57">
        <f t="shared" si="20"/>
        <v>14676.04</v>
      </c>
      <c r="N47" s="58">
        <f t="shared" si="6"/>
        <v>352.22496</v>
      </c>
    </row>
    <row r="48">
      <c r="A48" s="20">
        <v>1986.0</v>
      </c>
      <c r="B48" s="20"/>
      <c r="C48" s="49">
        <v>375193.0</v>
      </c>
      <c r="D48" s="48">
        <v>624573.0</v>
      </c>
      <c r="E48" s="59">
        <f t="shared" si="2"/>
        <v>376.6236362</v>
      </c>
      <c r="F48" s="56">
        <v>25000.0</v>
      </c>
      <c r="G48" s="32">
        <f t="shared" si="26"/>
        <v>599573</v>
      </c>
      <c r="H48" s="34"/>
      <c r="I48" s="34"/>
      <c r="J48" s="57"/>
      <c r="K48" s="38">
        <f t="shared" si="27"/>
        <v>1000</v>
      </c>
      <c r="L48" s="57">
        <f t="shared" si="22"/>
        <v>16.43835616</v>
      </c>
      <c r="M48" s="57">
        <f t="shared" si="20"/>
        <v>15007.72</v>
      </c>
      <c r="N48" s="58">
        <f t="shared" si="6"/>
        <v>360.18528</v>
      </c>
    </row>
    <row r="49">
      <c r="A49" s="20">
        <v>1985.0</v>
      </c>
      <c r="B49" s="11"/>
      <c r="C49" s="31">
        <v>444808.0</v>
      </c>
      <c r="D49" s="48">
        <v>784705.0</v>
      </c>
      <c r="E49" s="59">
        <f t="shared" si="2"/>
        <v>443.4540362</v>
      </c>
      <c r="F49" s="56">
        <v>25000.0</v>
      </c>
      <c r="G49" s="32">
        <f t="shared" si="26"/>
        <v>759705</v>
      </c>
      <c r="H49" s="34" t="s">
        <v>65</v>
      </c>
      <c r="I49" s="35">
        <v>32800.0</v>
      </c>
      <c r="J49" s="38">
        <f t="shared" ref="J49:J51" si="28">K49+M49</f>
        <v>18792.32</v>
      </c>
      <c r="K49" s="38">
        <f t="shared" si="27"/>
        <v>1000</v>
      </c>
      <c r="L49" s="57">
        <f t="shared" si="22"/>
        <v>16.43835616</v>
      </c>
      <c r="M49" s="57">
        <f t="shared" si="20"/>
        <v>17792.32</v>
      </c>
      <c r="N49" s="58">
        <f t="shared" si="6"/>
        <v>427.01568</v>
      </c>
      <c r="P49" s="42">
        <f t="shared" ref="P49:P50" si="29">C49/M49</f>
        <v>25</v>
      </c>
    </row>
    <row r="50">
      <c r="A50" s="20">
        <v>1984.0</v>
      </c>
      <c r="B50" s="11"/>
      <c r="C50" s="31">
        <v>393478.0</v>
      </c>
      <c r="D50" s="48">
        <v>712760.0</v>
      </c>
      <c r="E50" s="59">
        <f t="shared" si="2"/>
        <v>394.1772362</v>
      </c>
      <c r="F50" s="56">
        <v>25000.0</v>
      </c>
      <c r="G50" s="32">
        <f t="shared" si="26"/>
        <v>687760</v>
      </c>
      <c r="H50" s="34" t="s">
        <v>65</v>
      </c>
      <c r="I50" s="35">
        <v>28618.0</v>
      </c>
      <c r="J50" s="38">
        <f t="shared" si="28"/>
        <v>16739.12</v>
      </c>
      <c r="K50" s="38">
        <f t="shared" si="27"/>
        <v>1000</v>
      </c>
      <c r="L50" s="57">
        <f t="shared" si="22"/>
        <v>16.43835616</v>
      </c>
      <c r="M50" s="57">
        <f t="shared" si="20"/>
        <v>15739.12</v>
      </c>
      <c r="N50" s="58">
        <f t="shared" si="6"/>
        <v>377.73888</v>
      </c>
      <c r="P50" s="42">
        <f t="shared" si="29"/>
        <v>25</v>
      </c>
    </row>
    <row r="51">
      <c r="A51" s="20">
        <v>1983.0</v>
      </c>
      <c r="B51" s="11"/>
      <c r="C51" s="31">
        <v>413300.0</v>
      </c>
      <c r="D51" s="32"/>
      <c r="E51" s="59">
        <f t="shared" si="2"/>
        <v>413.2063562</v>
      </c>
      <c r="F51" s="56">
        <v>25000.0</v>
      </c>
      <c r="G51" s="32">
        <f t="shared" si="26"/>
        <v>-25000</v>
      </c>
      <c r="H51" s="34" t="s">
        <v>65</v>
      </c>
      <c r="I51" s="35">
        <v>30233.0</v>
      </c>
      <c r="J51" s="38">
        <f t="shared" si="28"/>
        <v>17532</v>
      </c>
      <c r="K51" s="38">
        <f t="shared" si="27"/>
        <v>1000</v>
      </c>
      <c r="L51" s="57">
        <f t="shared" si="22"/>
        <v>16.43835616</v>
      </c>
      <c r="M51" s="57">
        <f t="shared" si="20"/>
        <v>16532</v>
      </c>
      <c r="N51" s="58">
        <f t="shared" si="6"/>
        <v>396.768</v>
      </c>
    </row>
    <row r="52">
      <c r="E52" s="14"/>
    </row>
    <row r="53">
      <c r="E53" s="14"/>
    </row>
    <row r="54">
      <c r="E54" s="14"/>
    </row>
    <row r="55">
      <c r="E55" s="14"/>
    </row>
    <row r="56">
      <c r="E56" s="14"/>
    </row>
    <row r="57">
      <c r="E57" s="14"/>
    </row>
    <row r="58">
      <c r="E58" s="14"/>
    </row>
    <row r="59">
      <c r="E59" s="14"/>
    </row>
    <row r="60">
      <c r="E60" s="14"/>
    </row>
    <row r="61">
      <c r="E61" s="14"/>
    </row>
    <row r="62">
      <c r="E62" s="14"/>
    </row>
    <row r="63">
      <c r="E63" s="14"/>
    </row>
    <row r="64">
      <c r="E64" s="14"/>
    </row>
    <row r="65">
      <c r="E65" s="14"/>
    </row>
    <row r="66">
      <c r="E66" s="14"/>
    </row>
    <row r="67">
      <c r="E67" s="14"/>
    </row>
    <row r="68">
      <c r="E68" s="14"/>
    </row>
    <row r="69">
      <c r="E69" s="14"/>
    </row>
    <row r="70">
      <c r="E70" s="14"/>
    </row>
    <row r="71">
      <c r="E71" s="14"/>
    </row>
    <row r="72">
      <c r="E72" s="14"/>
    </row>
    <row r="73">
      <c r="E73" s="14"/>
    </row>
    <row r="74">
      <c r="E74" s="14"/>
    </row>
    <row r="75">
      <c r="E75" s="14"/>
    </row>
    <row r="76">
      <c r="E76" s="14"/>
    </row>
    <row r="77">
      <c r="E77" s="14"/>
    </row>
    <row r="78">
      <c r="E78" s="14"/>
    </row>
    <row r="79">
      <c r="E79" s="14"/>
    </row>
    <row r="80">
      <c r="E80" s="14"/>
    </row>
    <row r="81">
      <c r="E81" s="14"/>
    </row>
    <row r="82">
      <c r="E82" s="14"/>
    </row>
    <row r="83">
      <c r="E83" s="14"/>
    </row>
    <row r="84">
      <c r="E84" s="14"/>
    </row>
    <row r="85">
      <c r="E85" s="14"/>
    </row>
    <row r="86">
      <c r="E86" s="14"/>
    </row>
    <row r="87">
      <c r="E87" s="14"/>
    </row>
    <row r="88">
      <c r="E88" s="14"/>
    </row>
    <row r="89">
      <c r="E89" s="14"/>
    </row>
    <row r="90">
      <c r="E90" s="14"/>
    </row>
    <row r="91">
      <c r="E91" s="14"/>
    </row>
    <row r="92">
      <c r="E92" s="14"/>
    </row>
    <row r="93">
      <c r="E93" s="14"/>
    </row>
    <row r="94">
      <c r="E94" s="14"/>
    </row>
    <row r="95">
      <c r="E95" s="14"/>
    </row>
    <row r="96">
      <c r="E96" s="14"/>
    </row>
    <row r="97">
      <c r="E97" s="14"/>
    </row>
    <row r="98">
      <c r="E98" s="14"/>
    </row>
    <row r="99">
      <c r="E99" s="14"/>
    </row>
    <row r="100">
      <c r="E100" s="14"/>
    </row>
    <row r="101">
      <c r="E101" s="14"/>
    </row>
    <row r="102">
      <c r="E102" s="14"/>
    </row>
    <row r="103">
      <c r="E103" s="14"/>
    </row>
    <row r="104">
      <c r="E104" s="14"/>
    </row>
    <row r="105">
      <c r="E105" s="14"/>
    </row>
    <row r="106">
      <c r="E106" s="14"/>
    </row>
    <row r="107">
      <c r="E107" s="14"/>
    </row>
    <row r="108">
      <c r="E108" s="14"/>
    </row>
    <row r="109">
      <c r="E109" s="14"/>
    </row>
    <row r="110">
      <c r="E110" s="14"/>
    </row>
    <row r="111">
      <c r="E111" s="14"/>
    </row>
    <row r="112">
      <c r="E112" s="14"/>
    </row>
    <row r="113">
      <c r="E113" s="14"/>
    </row>
    <row r="114">
      <c r="E114" s="14"/>
    </row>
    <row r="115">
      <c r="E115" s="14"/>
    </row>
    <row r="116">
      <c r="E116" s="14"/>
    </row>
    <row r="117">
      <c r="E117" s="14"/>
    </row>
    <row r="118">
      <c r="E118" s="14"/>
    </row>
    <row r="119">
      <c r="E119" s="14"/>
    </row>
    <row r="120">
      <c r="E120" s="14"/>
    </row>
    <row r="121">
      <c r="E121" s="14"/>
    </row>
    <row r="122">
      <c r="E122" s="14"/>
    </row>
    <row r="123">
      <c r="E123" s="14"/>
    </row>
    <row r="124">
      <c r="E124" s="14"/>
    </row>
    <row r="125">
      <c r="E125" s="14"/>
    </row>
    <row r="126">
      <c r="E126" s="14"/>
    </row>
    <row r="127">
      <c r="E127" s="14"/>
    </row>
    <row r="128">
      <c r="E128" s="14"/>
    </row>
    <row r="129">
      <c r="E129" s="14"/>
    </row>
    <row r="130">
      <c r="E130" s="14"/>
    </row>
    <row r="131">
      <c r="E131" s="14"/>
    </row>
    <row r="132">
      <c r="E132" s="14"/>
    </row>
    <row r="133">
      <c r="E133" s="14"/>
    </row>
    <row r="134">
      <c r="E134" s="14"/>
    </row>
    <row r="135">
      <c r="E135" s="14"/>
    </row>
    <row r="136">
      <c r="E136" s="14"/>
    </row>
    <row r="137">
      <c r="E137" s="14"/>
    </row>
    <row r="138">
      <c r="E138" s="14"/>
    </row>
    <row r="139">
      <c r="E139" s="14"/>
    </row>
    <row r="140">
      <c r="E140" s="14"/>
    </row>
    <row r="141">
      <c r="E141" s="14"/>
    </row>
    <row r="142">
      <c r="E142" s="14"/>
    </row>
    <row r="143">
      <c r="E143" s="14"/>
    </row>
    <row r="144">
      <c r="E144" s="14"/>
    </row>
    <row r="145">
      <c r="E145" s="14"/>
    </row>
    <row r="146">
      <c r="E146" s="14"/>
    </row>
    <row r="147">
      <c r="E147" s="14"/>
    </row>
    <row r="148">
      <c r="E148" s="14"/>
    </row>
    <row r="149">
      <c r="E149" s="14"/>
    </row>
    <row r="150">
      <c r="E150" s="14"/>
    </row>
    <row r="151">
      <c r="E151" s="14"/>
    </row>
    <row r="152">
      <c r="E152" s="14"/>
    </row>
    <row r="153">
      <c r="E153" s="14"/>
    </row>
    <row r="154">
      <c r="E154" s="14"/>
    </row>
    <row r="155">
      <c r="E155" s="14"/>
    </row>
    <row r="156">
      <c r="E156" s="14"/>
    </row>
    <row r="157">
      <c r="E157" s="14"/>
    </row>
    <row r="158">
      <c r="E158" s="14"/>
    </row>
    <row r="159">
      <c r="E159" s="14"/>
    </row>
    <row r="160">
      <c r="E160" s="14"/>
    </row>
    <row r="161">
      <c r="E161" s="14"/>
    </row>
    <row r="162">
      <c r="E162" s="14"/>
    </row>
    <row r="163">
      <c r="E163" s="14"/>
    </row>
    <row r="164">
      <c r="E164" s="14"/>
    </row>
    <row r="165">
      <c r="E165" s="14"/>
    </row>
    <row r="166">
      <c r="E166" s="14"/>
    </row>
    <row r="167">
      <c r="E167" s="14"/>
    </row>
    <row r="168">
      <c r="E168" s="14"/>
    </row>
    <row r="169">
      <c r="E169" s="14"/>
    </row>
    <row r="170">
      <c r="E170" s="14"/>
    </row>
    <row r="171">
      <c r="E171" s="14"/>
    </row>
    <row r="172">
      <c r="E172" s="14"/>
    </row>
    <row r="173">
      <c r="E173" s="14"/>
    </row>
    <row r="174">
      <c r="E174" s="14"/>
    </row>
    <row r="175">
      <c r="E175" s="14"/>
    </row>
    <row r="176">
      <c r="E176" s="14"/>
    </row>
    <row r="177">
      <c r="E177" s="14"/>
    </row>
    <row r="178">
      <c r="E178" s="14"/>
    </row>
    <row r="179">
      <c r="E179" s="14"/>
    </row>
    <row r="180">
      <c r="E180" s="14"/>
    </row>
    <row r="181">
      <c r="E181" s="14"/>
    </row>
    <row r="182">
      <c r="E182" s="14"/>
    </row>
    <row r="183">
      <c r="E183" s="14"/>
    </row>
    <row r="184">
      <c r="E184" s="14"/>
    </row>
    <row r="185">
      <c r="E185" s="14"/>
    </row>
    <row r="186">
      <c r="E186" s="14"/>
    </row>
    <row r="187">
      <c r="E187" s="14"/>
    </row>
    <row r="188">
      <c r="E188" s="14"/>
    </row>
    <row r="189">
      <c r="E189" s="14"/>
    </row>
    <row r="190">
      <c r="E190" s="14"/>
    </row>
    <row r="191">
      <c r="E191" s="14"/>
    </row>
    <row r="192">
      <c r="E192" s="14"/>
    </row>
    <row r="193">
      <c r="E193" s="14"/>
    </row>
    <row r="194">
      <c r="E194" s="14"/>
    </row>
    <row r="195">
      <c r="E195" s="14"/>
    </row>
    <row r="196">
      <c r="E196" s="14"/>
    </row>
    <row r="197">
      <c r="E197" s="14"/>
    </row>
    <row r="198">
      <c r="E198" s="14"/>
    </row>
    <row r="199">
      <c r="E199" s="14"/>
    </row>
    <row r="200">
      <c r="E200" s="14"/>
    </row>
    <row r="201">
      <c r="E201" s="14"/>
    </row>
    <row r="202">
      <c r="E202" s="14"/>
    </row>
    <row r="203">
      <c r="E203" s="14"/>
    </row>
    <row r="204">
      <c r="E204" s="14"/>
    </row>
    <row r="205">
      <c r="E205" s="14"/>
    </row>
    <row r="206">
      <c r="E206" s="14"/>
    </row>
    <row r="207">
      <c r="E207" s="14"/>
    </row>
    <row r="208">
      <c r="E208" s="14"/>
    </row>
    <row r="209">
      <c r="E209" s="14"/>
    </row>
    <row r="210">
      <c r="E210" s="14"/>
    </row>
    <row r="211">
      <c r="E211" s="14"/>
    </row>
    <row r="212">
      <c r="E212" s="14"/>
    </row>
    <row r="213">
      <c r="E213" s="14"/>
    </row>
    <row r="214">
      <c r="E214" s="14"/>
    </row>
    <row r="215">
      <c r="E215" s="14"/>
    </row>
    <row r="216">
      <c r="E216" s="14"/>
    </row>
    <row r="217">
      <c r="E217" s="14"/>
    </row>
    <row r="218">
      <c r="E218" s="14"/>
    </row>
    <row r="219">
      <c r="E219" s="14"/>
    </row>
    <row r="220">
      <c r="E220" s="14"/>
    </row>
    <row r="221">
      <c r="E221" s="14"/>
    </row>
    <row r="222">
      <c r="E222" s="14"/>
    </row>
    <row r="223">
      <c r="E223" s="14"/>
    </row>
    <row r="224">
      <c r="E224" s="14"/>
    </row>
    <row r="225">
      <c r="E225" s="14"/>
    </row>
    <row r="226">
      <c r="E226" s="14"/>
    </row>
    <row r="227">
      <c r="E227" s="14"/>
    </row>
    <row r="228">
      <c r="E228" s="14"/>
    </row>
    <row r="229">
      <c r="E229" s="14"/>
    </row>
    <row r="230">
      <c r="E230" s="14"/>
    </row>
    <row r="231">
      <c r="E231" s="14"/>
    </row>
    <row r="232">
      <c r="E232" s="14"/>
    </row>
    <row r="233">
      <c r="E233" s="14"/>
    </row>
    <row r="234">
      <c r="E234" s="14"/>
    </row>
    <row r="235">
      <c r="E235" s="14"/>
    </row>
    <row r="236">
      <c r="E236" s="14"/>
    </row>
    <row r="237">
      <c r="E237" s="14"/>
    </row>
    <row r="238">
      <c r="E238" s="14"/>
    </row>
    <row r="239">
      <c r="E239" s="14"/>
    </row>
    <row r="240">
      <c r="E240" s="14"/>
    </row>
    <row r="241">
      <c r="E241" s="14"/>
    </row>
    <row r="242">
      <c r="E242" s="14"/>
    </row>
    <row r="243">
      <c r="E243" s="14"/>
    </row>
    <row r="244">
      <c r="E244" s="14"/>
    </row>
    <row r="245">
      <c r="E245" s="14"/>
    </row>
    <row r="246">
      <c r="E246" s="14"/>
    </row>
    <row r="247">
      <c r="E247" s="14"/>
    </row>
    <row r="248">
      <c r="E248" s="14"/>
    </row>
    <row r="249">
      <c r="E249" s="14"/>
    </row>
    <row r="250">
      <c r="E250" s="14"/>
    </row>
    <row r="251">
      <c r="E251" s="14"/>
    </row>
    <row r="252">
      <c r="E252" s="14"/>
    </row>
    <row r="253">
      <c r="E253" s="14"/>
    </row>
    <row r="254">
      <c r="E254" s="14"/>
    </row>
    <row r="255">
      <c r="E255" s="14"/>
    </row>
    <row r="256">
      <c r="E256" s="14"/>
    </row>
    <row r="257">
      <c r="E257" s="14"/>
    </row>
    <row r="258">
      <c r="E258" s="14"/>
    </row>
    <row r="259">
      <c r="E259" s="14"/>
    </row>
    <row r="260">
      <c r="E260" s="14"/>
    </row>
    <row r="261">
      <c r="E261" s="14"/>
    </row>
    <row r="262">
      <c r="E262" s="14"/>
    </row>
    <row r="263">
      <c r="E263" s="14"/>
    </row>
    <row r="264">
      <c r="E264" s="14"/>
    </row>
    <row r="265">
      <c r="E265" s="14"/>
    </row>
    <row r="266">
      <c r="E266" s="14"/>
    </row>
    <row r="267">
      <c r="E267" s="14"/>
    </row>
    <row r="268">
      <c r="E268" s="14"/>
    </row>
    <row r="269">
      <c r="E269" s="14"/>
    </row>
    <row r="270">
      <c r="E270" s="14"/>
    </row>
    <row r="271">
      <c r="E271" s="14"/>
    </row>
    <row r="272">
      <c r="E272" s="14"/>
    </row>
    <row r="273">
      <c r="E273" s="14"/>
    </row>
    <row r="274">
      <c r="E274" s="14"/>
    </row>
    <row r="275">
      <c r="E275" s="14"/>
    </row>
    <row r="276">
      <c r="E276" s="14"/>
    </row>
    <row r="277">
      <c r="E277" s="14"/>
    </row>
    <row r="278">
      <c r="E278" s="14"/>
    </row>
    <row r="279">
      <c r="E279" s="14"/>
    </row>
    <row r="280">
      <c r="E280" s="14"/>
    </row>
    <row r="281">
      <c r="E281" s="14"/>
    </row>
    <row r="282">
      <c r="E282" s="14"/>
    </row>
    <row r="283">
      <c r="E283" s="14"/>
    </row>
    <row r="284">
      <c r="E284" s="14"/>
    </row>
    <row r="285">
      <c r="E285" s="14"/>
    </row>
    <row r="286">
      <c r="E286" s="14"/>
    </row>
    <row r="287">
      <c r="E287" s="14"/>
    </row>
    <row r="288">
      <c r="E288" s="14"/>
    </row>
    <row r="289">
      <c r="E289" s="14"/>
    </row>
    <row r="290">
      <c r="E290" s="14"/>
    </row>
    <row r="291">
      <c r="E291" s="14"/>
    </row>
    <row r="292">
      <c r="E292" s="14"/>
    </row>
    <row r="293">
      <c r="E293" s="14"/>
    </row>
    <row r="294">
      <c r="E294" s="14"/>
    </row>
    <row r="295">
      <c r="E295" s="14"/>
    </row>
    <row r="296">
      <c r="E296" s="14"/>
    </row>
    <row r="297">
      <c r="E297" s="14"/>
    </row>
    <row r="298">
      <c r="E298" s="14"/>
    </row>
    <row r="299">
      <c r="E299" s="14"/>
    </row>
    <row r="300">
      <c r="E300" s="14"/>
    </row>
    <row r="301">
      <c r="E301" s="14"/>
    </row>
    <row r="302">
      <c r="E302" s="14"/>
    </row>
    <row r="303">
      <c r="E303" s="14"/>
    </row>
    <row r="304">
      <c r="E304" s="14"/>
    </row>
    <row r="305">
      <c r="E305" s="14"/>
    </row>
    <row r="306">
      <c r="E306" s="14"/>
    </row>
    <row r="307">
      <c r="E307" s="14"/>
    </row>
    <row r="308">
      <c r="E308" s="14"/>
    </row>
    <row r="309">
      <c r="E309" s="14"/>
    </row>
    <row r="310">
      <c r="E310" s="14"/>
    </row>
    <row r="311">
      <c r="E311" s="14"/>
    </row>
    <row r="312">
      <c r="E312" s="14"/>
    </row>
    <row r="313">
      <c r="E313" s="14"/>
    </row>
    <row r="314">
      <c r="E314" s="14"/>
    </row>
    <row r="315">
      <c r="E315" s="14"/>
    </row>
    <row r="316">
      <c r="E316" s="14"/>
    </row>
    <row r="317">
      <c r="E317" s="14"/>
    </row>
    <row r="318">
      <c r="E318" s="14"/>
    </row>
    <row r="319">
      <c r="E319" s="14"/>
    </row>
    <row r="320">
      <c r="E320" s="14"/>
    </row>
    <row r="321">
      <c r="E321" s="14"/>
    </row>
    <row r="322">
      <c r="E322" s="14"/>
    </row>
    <row r="323">
      <c r="E323" s="14"/>
    </row>
    <row r="324">
      <c r="E324" s="14"/>
    </row>
    <row r="325">
      <c r="E325" s="14"/>
    </row>
    <row r="326">
      <c r="E326" s="14"/>
    </row>
    <row r="327">
      <c r="E327" s="14"/>
    </row>
    <row r="328">
      <c r="E328" s="14"/>
    </row>
    <row r="329">
      <c r="E329" s="14"/>
    </row>
    <row r="330">
      <c r="E330" s="14"/>
    </row>
    <row r="331">
      <c r="E331" s="14"/>
    </row>
    <row r="332">
      <c r="E332" s="14"/>
    </row>
    <row r="333">
      <c r="E333" s="14"/>
    </row>
    <row r="334">
      <c r="E334" s="14"/>
    </row>
    <row r="335">
      <c r="E335" s="14"/>
    </row>
    <row r="336">
      <c r="E336" s="14"/>
    </row>
    <row r="337">
      <c r="E337" s="14"/>
    </row>
    <row r="338">
      <c r="E338" s="14"/>
    </row>
    <row r="339">
      <c r="E339" s="14"/>
    </row>
    <row r="340">
      <c r="E340" s="14"/>
    </row>
    <row r="341">
      <c r="E341" s="14"/>
    </row>
    <row r="342">
      <c r="E342" s="14"/>
    </row>
    <row r="343">
      <c r="E343" s="14"/>
    </row>
    <row r="344">
      <c r="E344" s="14"/>
    </row>
    <row r="345">
      <c r="E345" s="14"/>
    </row>
    <row r="346">
      <c r="E346" s="14"/>
    </row>
    <row r="347">
      <c r="E347" s="14"/>
    </row>
    <row r="348">
      <c r="E348" s="14"/>
    </row>
    <row r="349">
      <c r="E349" s="14"/>
    </row>
    <row r="350">
      <c r="E350" s="14"/>
    </row>
    <row r="351">
      <c r="E351" s="14"/>
    </row>
    <row r="352">
      <c r="E352" s="14"/>
    </row>
    <row r="353">
      <c r="E353" s="14"/>
    </row>
    <row r="354">
      <c r="E354" s="14"/>
    </row>
    <row r="355">
      <c r="E355" s="14"/>
    </row>
    <row r="356">
      <c r="E356" s="14"/>
    </row>
    <row r="357">
      <c r="E357" s="14"/>
    </row>
    <row r="358">
      <c r="E358" s="14"/>
    </row>
    <row r="359">
      <c r="E359" s="14"/>
    </row>
    <row r="360">
      <c r="E360" s="14"/>
    </row>
    <row r="361">
      <c r="E361" s="14"/>
    </row>
    <row r="362">
      <c r="E362" s="14"/>
    </row>
    <row r="363">
      <c r="E363" s="14"/>
    </row>
    <row r="364">
      <c r="E364" s="14"/>
    </row>
    <row r="365">
      <c r="E365" s="14"/>
    </row>
    <row r="366">
      <c r="E366" s="14"/>
    </row>
    <row r="367">
      <c r="E367" s="14"/>
    </row>
    <row r="368">
      <c r="E368" s="14"/>
    </row>
    <row r="369">
      <c r="E369" s="14"/>
    </row>
    <row r="370">
      <c r="E370" s="14"/>
    </row>
    <row r="371">
      <c r="E371" s="14"/>
    </row>
    <row r="372">
      <c r="E372" s="14"/>
    </row>
    <row r="373">
      <c r="E373" s="14"/>
    </row>
    <row r="374">
      <c r="E374" s="14"/>
    </row>
    <row r="375">
      <c r="E375" s="14"/>
    </row>
    <row r="376">
      <c r="E376" s="14"/>
    </row>
    <row r="377">
      <c r="E377" s="14"/>
    </row>
    <row r="378">
      <c r="E378" s="14"/>
    </row>
    <row r="379">
      <c r="E379" s="14"/>
    </row>
    <row r="380">
      <c r="E380" s="14"/>
    </row>
    <row r="381">
      <c r="E381" s="14"/>
    </row>
    <row r="382">
      <c r="E382" s="14"/>
    </row>
    <row r="383">
      <c r="E383" s="14"/>
    </row>
    <row r="384">
      <c r="E384" s="14"/>
    </row>
    <row r="385">
      <c r="E385" s="14"/>
    </row>
    <row r="386">
      <c r="E386" s="14"/>
    </row>
    <row r="387">
      <c r="E387" s="14"/>
    </row>
    <row r="388">
      <c r="E388" s="14"/>
    </row>
    <row r="389">
      <c r="E389" s="14"/>
    </row>
    <row r="390">
      <c r="E390" s="14"/>
    </row>
    <row r="391">
      <c r="E391" s="14"/>
    </row>
    <row r="392">
      <c r="E392" s="14"/>
    </row>
    <row r="393">
      <c r="E393" s="14"/>
    </row>
    <row r="394">
      <c r="E394" s="14"/>
    </row>
    <row r="395">
      <c r="E395" s="14"/>
    </row>
    <row r="396">
      <c r="E396" s="14"/>
    </row>
    <row r="397">
      <c r="E397" s="14"/>
    </row>
    <row r="398">
      <c r="E398" s="14"/>
    </row>
    <row r="399">
      <c r="E399" s="14"/>
    </row>
    <row r="400">
      <c r="E400" s="14"/>
    </row>
    <row r="401">
      <c r="E401" s="14"/>
    </row>
    <row r="402">
      <c r="E402" s="14"/>
    </row>
    <row r="403">
      <c r="E403" s="14"/>
    </row>
    <row r="404">
      <c r="E404" s="14"/>
    </row>
    <row r="405">
      <c r="E405" s="14"/>
    </row>
    <row r="406">
      <c r="E406" s="14"/>
    </row>
    <row r="407">
      <c r="E407" s="14"/>
    </row>
    <row r="408">
      <c r="E408" s="14"/>
    </row>
    <row r="409">
      <c r="E409" s="14"/>
    </row>
    <row r="410">
      <c r="E410" s="14"/>
    </row>
    <row r="411">
      <c r="E411" s="14"/>
    </row>
    <row r="412">
      <c r="E412" s="14"/>
    </row>
    <row r="413">
      <c r="E413" s="14"/>
    </row>
    <row r="414">
      <c r="E414" s="14"/>
    </row>
    <row r="415">
      <c r="E415" s="14"/>
    </row>
    <row r="416">
      <c r="E416" s="14"/>
    </row>
    <row r="417">
      <c r="E417" s="14"/>
    </row>
    <row r="418">
      <c r="E418" s="14"/>
    </row>
    <row r="419">
      <c r="E419" s="14"/>
    </row>
    <row r="420">
      <c r="E420" s="14"/>
    </row>
    <row r="421">
      <c r="E421" s="14"/>
    </row>
    <row r="422">
      <c r="E422" s="14"/>
    </row>
    <row r="423">
      <c r="E423" s="14"/>
    </row>
    <row r="424">
      <c r="E424" s="14"/>
    </row>
    <row r="425">
      <c r="E425" s="14"/>
    </row>
    <row r="426">
      <c r="E426" s="14"/>
    </row>
    <row r="427">
      <c r="E427" s="14"/>
    </row>
    <row r="428">
      <c r="E428" s="14"/>
    </row>
    <row r="429">
      <c r="E429" s="14"/>
    </row>
    <row r="430">
      <c r="E430" s="14"/>
    </row>
    <row r="431">
      <c r="E431" s="14"/>
    </row>
    <row r="432">
      <c r="E432" s="14"/>
    </row>
    <row r="433">
      <c r="E433" s="14"/>
    </row>
    <row r="434">
      <c r="E434" s="14"/>
    </row>
    <row r="435">
      <c r="E435" s="14"/>
    </row>
    <row r="436">
      <c r="E436" s="14"/>
    </row>
    <row r="437">
      <c r="E437" s="14"/>
    </row>
    <row r="438">
      <c r="E438" s="14"/>
    </row>
    <row r="439">
      <c r="E439" s="14"/>
    </row>
    <row r="440">
      <c r="E440" s="14"/>
    </row>
    <row r="441">
      <c r="E441" s="14"/>
    </row>
    <row r="442">
      <c r="E442" s="14"/>
    </row>
    <row r="443">
      <c r="E443" s="14"/>
    </row>
    <row r="444">
      <c r="E444" s="14"/>
    </row>
    <row r="445">
      <c r="E445" s="14"/>
    </row>
    <row r="446">
      <c r="E446" s="14"/>
    </row>
    <row r="447">
      <c r="E447" s="14"/>
    </row>
    <row r="448">
      <c r="E448" s="14"/>
    </row>
    <row r="449">
      <c r="E449" s="14"/>
    </row>
    <row r="450">
      <c r="E450" s="14"/>
    </row>
    <row r="451">
      <c r="E451" s="14"/>
    </row>
    <row r="452">
      <c r="E452" s="14"/>
    </row>
    <row r="453">
      <c r="E453" s="14"/>
    </row>
    <row r="454">
      <c r="E454" s="14"/>
    </row>
    <row r="455">
      <c r="E455" s="14"/>
    </row>
    <row r="456">
      <c r="E456" s="14"/>
    </row>
    <row r="457">
      <c r="E457" s="14"/>
    </row>
    <row r="458">
      <c r="E458" s="14"/>
    </row>
    <row r="459">
      <c r="E459" s="14"/>
    </row>
    <row r="460">
      <c r="E460" s="14"/>
    </row>
    <row r="461">
      <c r="E461" s="14"/>
    </row>
    <row r="462">
      <c r="E462" s="14"/>
    </row>
    <row r="463">
      <c r="E463" s="14"/>
    </row>
    <row r="464">
      <c r="E464" s="14"/>
    </row>
    <row r="465">
      <c r="E465" s="14"/>
    </row>
    <row r="466">
      <c r="E466" s="14"/>
    </row>
    <row r="467">
      <c r="E467" s="14"/>
    </row>
    <row r="468">
      <c r="E468" s="14"/>
    </row>
    <row r="469">
      <c r="E469" s="14"/>
    </row>
    <row r="470">
      <c r="E470" s="14"/>
    </row>
    <row r="471">
      <c r="E471" s="14"/>
    </row>
    <row r="472">
      <c r="E472" s="14"/>
    </row>
    <row r="473">
      <c r="E473" s="14"/>
    </row>
    <row r="474">
      <c r="E474" s="14"/>
    </row>
    <row r="475">
      <c r="E475" s="14"/>
    </row>
    <row r="476">
      <c r="E476" s="14"/>
    </row>
    <row r="477">
      <c r="E477" s="14"/>
    </row>
    <row r="478">
      <c r="E478" s="14"/>
    </row>
    <row r="479">
      <c r="E479" s="14"/>
    </row>
    <row r="480">
      <c r="E480" s="14"/>
    </row>
    <row r="481">
      <c r="E481" s="14"/>
    </row>
    <row r="482">
      <c r="E482" s="14"/>
    </row>
    <row r="483">
      <c r="E483" s="14"/>
    </row>
    <row r="484">
      <c r="E484" s="14"/>
    </row>
    <row r="485">
      <c r="E485" s="14"/>
    </row>
    <row r="486">
      <c r="E486" s="14"/>
    </row>
    <row r="487">
      <c r="E487" s="14"/>
    </row>
    <row r="488">
      <c r="E488" s="14"/>
    </row>
    <row r="489">
      <c r="E489" s="14"/>
    </row>
    <row r="490">
      <c r="E490" s="14"/>
    </row>
    <row r="491">
      <c r="E491" s="14"/>
    </row>
    <row r="492">
      <c r="E492" s="14"/>
    </row>
    <row r="493">
      <c r="E493" s="14"/>
    </row>
    <row r="494">
      <c r="E494" s="14"/>
    </row>
    <row r="495">
      <c r="E495" s="14"/>
    </row>
    <row r="496">
      <c r="E496" s="14"/>
    </row>
    <row r="497">
      <c r="E497" s="14"/>
    </row>
    <row r="498">
      <c r="E498" s="14"/>
    </row>
    <row r="499">
      <c r="E499" s="14"/>
    </row>
    <row r="500">
      <c r="E500" s="14"/>
    </row>
    <row r="501">
      <c r="E501" s="14"/>
    </row>
    <row r="502">
      <c r="E502" s="14"/>
    </row>
    <row r="503">
      <c r="E503" s="14"/>
    </row>
    <row r="504">
      <c r="E504" s="14"/>
    </row>
    <row r="505">
      <c r="E505" s="14"/>
    </row>
    <row r="506">
      <c r="E506" s="14"/>
    </row>
    <row r="507">
      <c r="E507" s="14"/>
    </row>
    <row r="508">
      <c r="E508" s="14"/>
    </row>
    <row r="509">
      <c r="E509" s="14"/>
    </row>
    <row r="510">
      <c r="E510" s="14"/>
    </row>
    <row r="511">
      <c r="E511" s="14"/>
    </row>
    <row r="512">
      <c r="E512" s="14"/>
    </row>
    <row r="513">
      <c r="E513" s="14"/>
    </row>
    <row r="514">
      <c r="E514" s="14"/>
    </row>
    <row r="515">
      <c r="E515" s="14"/>
    </row>
    <row r="516">
      <c r="E516" s="14"/>
    </row>
    <row r="517">
      <c r="E517" s="14"/>
    </row>
    <row r="518">
      <c r="E518" s="14"/>
    </row>
    <row r="519">
      <c r="E519" s="14"/>
    </row>
    <row r="520">
      <c r="E520" s="14"/>
    </row>
    <row r="521">
      <c r="E521" s="14"/>
    </row>
    <row r="522">
      <c r="E522" s="14"/>
    </row>
    <row r="523">
      <c r="E523" s="14"/>
    </row>
    <row r="524">
      <c r="E524" s="14"/>
    </row>
    <row r="525">
      <c r="E525" s="14"/>
    </row>
    <row r="526">
      <c r="E526" s="14"/>
    </row>
    <row r="527">
      <c r="E527" s="14"/>
    </row>
    <row r="528">
      <c r="E528" s="14"/>
    </row>
    <row r="529">
      <c r="E529" s="14"/>
    </row>
    <row r="530">
      <c r="E530" s="14"/>
    </row>
    <row r="531">
      <c r="E531" s="14"/>
    </row>
    <row r="532">
      <c r="E532" s="14"/>
    </row>
    <row r="533">
      <c r="E533" s="14"/>
    </row>
    <row r="534">
      <c r="E534" s="14"/>
    </row>
    <row r="535">
      <c r="E535" s="14"/>
    </row>
    <row r="536">
      <c r="E536" s="14"/>
    </row>
    <row r="537">
      <c r="E537" s="14"/>
    </row>
    <row r="538">
      <c r="E538" s="14"/>
    </row>
    <row r="539">
      <c r="E539" s="14"/>
    </row>
    <row r="540">
      <c r="E540" s="14"/>
    </row>
    <row r="541">
      <c r="E541" s="14"/>
    </row>
    <row r="542">
      <c r="E542" s="14"/>
    </row>
    <row r="543">
      <c r="E543" s="14"/>
    </row>
    <row r="544">
      <c r="E544" s="14"/>
    </row>
    <row r="545">
      <c r="E545" s="14"/>
    </row>
    <row r="546">
      <c r="E546" s="14"/>
    </row>
    <row r="547">
      <c r="E547" s="14"/>
    </row>
    <row r="548">
      <c r="E548" s="14"/>
    </row>
    <row r="549">
      <c r="E549" s="14"/>
    </row>
    <row r="550">
      <c r="E550" s="14"/>
    </row>
    <row r="551">
      <c r="E551" s="14"/>
    </row>
    <row r="552">
      <c r="E552" s="14"/>
    </row>
    <row r="553">
      <c r="E553" s="14"/>
    </row>
    <row r="554">
      <c r="E554" s="14"/>
    </row>
    <row r="555">
      <c r="E555" s="14"/>
    </row>
    <row r="556">
      <c r="E556" s="14"/>
    </row>
    <row r="557">
      <c r="E557" s="14"/>
    </row>
    <row r="558">
      <c r="E558" s="14"/>
    </row>
    <row r="559">
      <c r="E559" s="14"/>
    </row>
    <row r="560">
      <c r="E560" s="14"/>
    </row>
    <row r="561">
      <c r="E561" s="14"/>
    </row>
    <row r="562">
      <c r="E562" s="14"/>
    </row>
    <row r="563">
      <c r="E563" s="14"/>
    </row>
    <row r="564">
      <c r="E564" s="14"/>
    </row>
    <row r="565">
      <c r="E565" s="14"/>
    </row>
    <row r="566">
      <c r="E566" s="14"/>
    </row>
    <row r="567">
      <c r="E567" s="14"/>
    </row>
    <row r="568">
      <c r="E568" s="14"/>
    </row>
    <row r="569">
      <c r="E569" s="14"/>
    </row>
    <row r="570">
      <c r="E570" s="14"/>
    </row>
    <row r="571">
      <c r="E571" s="14"/>
    </row>
    <row r="572">
      <c r="E572" s="14"/>
    </row>
    <row r="573">
      <c r="E573" s="14"/>
    </row>
    <row r="574">
      <c r="E574" s="14"/>
    </row>
    <row r="575">
      <c r="E575" s="14"/>
    </row>
    <row r="576">
      <c r="E576" s="14"/>
    </row>
    <row r="577">
      <c r="E577" s="14"/>
    </row>
    <row r="578">
      <c r="E578" s="14"/>
    </row>
    <row r="579">
      <c r="E579" s="14"/>
    </row>
    <row r="580">
      <c r="E580" s="14"/>
    </row>
    <row r="581">
      <c r="E581" s="14"/>
    </row>
    <row r="582">
      <c r="E582" s="14"/>
    </row>
    <row r="583">
      <c r="E583" s="14"/>
    </row>
    <row r="584">
      <c r="E584" s="14"/>
    </row>
    <row r="585">
      <c r="E585" s="14"/>
    </row>
    <row r="586">
      <c r="E586" s="14"/>
    </row>
    <row r="587">
      <c r="E587" s="14"/>
    </row>
    <row r="588">
      <c r="E588" s="14"/>
    </row>
    <row r="589">
      <c r="E589" s="14"/>
    </row>
    <row r="590">
      <c r="E590" s="14"/>
    </row>
    <row r="591">
      <c r="E591" s="14"/>
    </row>
    <row r="592">
      <c r="E592" s="14"/>
    </row>
    <row r="593">
      <c r="E593" s="14"/>
    </row>
    <row r="594">
      <c r="E594" s="14"/>
    </row>
    <row r="595">
      <c r="E595" s="14"/>
    </row>
    <row r="596">
      <c r="E596" s="14"/>
    </row>
    <row r="597">
      <c r="E597" s="14"/>
    </row>
    <row r="598">
      <c r="E598" s="14"/>
    </row>
    <row r="599">
      <c r="E599" s="14"/>
    </row>
    <row r="600">
      <c r="E600" s="14"/>
    </row>
    <row r="601">
      <c r="E601" s="14"/>
    </row>
    <row r="602">
      <c r="E602" s="14"/>
    </row>
    <row r="603">
      <c r="E603" s="14"/>
    </row>
    <row r="604">
      <c r="E604" s="14"/>
    </row>
    <row r="605">
      <c r="E605" s="14"/>
    </row>
    <row r="606">
      <c r="E606" s="14"/>
    </row>
    <row r="607">
      <c r="E607" s="14"/>
    </row>
    <row r="608">
      <c r="E608" s="14"/>
    </row>
    <row r="609">
      <c r="E609" s="14"/>
    </row>
    <row r="610">
      <c r="E610" s="14"/>
    </row>
    <row r="611">
      <c r="E611" s="14"/>
    </row>
    <row r="612">
      <c r="E612" s="14"/>
    </row>
    <row r="613">
      <c r="E613" s="14"/>
    </row>
    <row r="614">
      <c r="E614" s="14"/>
    </row>
    <row r="615">
      <c r="E615" s="14"/>
    </row>
    <row r="616">
      <c r="E616" s="14"/>
    </row>
    <row r="617">
      <c r="E617" s="14"/>
    </row>
    <row r="618">
      <c r="E618" s="14"/>
    </row>
    <row r="619">
      <c r="E619" s="14"/>
    </row>
    <row r="620">
      <c r="E620" s="14"/>
    </row>
    <row r="621">
      <c r="E621" s="14"/>
    </row>
    <row r="622">
      <c r="E622" s="14"/>
    </row>
    <row r="623">
      <c r="E623" s="14"/>
    </row>
    <row r="624">
      <c r="E624" s="14"/>
    </row>
    <row r="625">
      <c r="E625" s="14"/>
    </row>
    <row r="626">
      <c r="E626" s="14"/>
    </row>
    <row r="627">
      <c r="E627" s="14"/>
    </row>
    <row r="628">
      <c r="E628" s="14"/>
    </row>
    <row r="629">
      <c r="E629" s="14"/>
    </row>
    <row r="630">
      <c r="E630" s="14"/>
    </row>
    <row r="631">
      <c r="E631" s="14"/>
    </row>
    <row r="632">
      <c r="E632" s="14"/>
    </row>
    <row r="633">
      <c r="E633" s="14"/>
    </row>
    <row r="634">
      <c r="E634" s="14"/>
    </row>
    <row r="635">
      <c r="E635" s="14"/>
    </row>
    <row r="636">
      <c r="E636" s="14"/>
    </row>
    <row r="637">
      <c r="E637" s="14"/>
    </row>
    <row r="638">
      <c r="E638" s="14"/>
    </row>
    <row r="639">
      <c r="E639" s="14"/>
    </row>
    <row r="640">
      <c r="E640" s="14"/>
    </row>
    <row r="641">
      <c r="E641" s="14"/>
    </row>
    <row r="642">
      <c r="E642" s="14"/>
    </row>
    <row r="643">
      <c r="E643" s="14"/>
    </row>
    <row r="644">
      <c r="E644" s="14"/>
    </row>
    <row r="645">
      <c r="E645" s="14"/>
    </row>
    <row r="646">
      <c r="E646" s="14"/>
    </row>
    <row r="647">
      <c r="E647" s="14"/>
    </row>
    <row r="648">
      <c r="E648" s="14"/>
    </row>
    <row r="649">
      <c r="E649" s="14"/>
    </row>
    <row r="650">
      <c r="E650" s="14"/>
    </row>
    <row r="651">
      <c r="E651" s="14"/>
    </row>
    <row r="652">
      <c r="E652" s="14"/>
    </row>
    <row r="653">
      <c r="E653" s="14"/>
    </row>
    <row r="654">
      <c r="E654" s="14"/>
    </row>
    <row r="655">
      <c r="E655" s="14"/>
    </row>
    <row r="656">
      <c r="E656" s="14"/>
    </row>
    <row r="657">
      <c r="E657" s="14"/>
    </row>
    <row r="658">
      <c r="E658" s="14"/>
    </row>
    <row r="659">
      <c r="E659" s="14"/>
    </row>
    <row r="660">
      <c r="E660" s="14"/>
    </row>
    <row r="661">
      <c r="E661" s="14"/>
    </row>
    <row r="662">
      <c r="E662" s="14"/>
    </row>
    <row r="663">
      <c r="E663" s="14"/>
    </row>
    <row r="664">
      <c r="E664" s="14"/>
    </row>
    <row r="665">
      <c r="E665" s="14"/>
    </row>
    <row r="666">
      <c r="E666" s="14"/>
    </row>
    <row r="667">
      <c r="E667" s="14"/>
    </row>
    <row r="668">
      <c r="E668" s="14"/>
    </row>
    <row r="669">
      <c r="E669" s="14"/>
    </row>
    <row r="670">
      <c r="E670" s="14"/>
    </row>
    <row r="671">
      <c r="E671" s="14"/>
    </row>
    <row r="672">
      <c r="E672" s="14"/>
    </row>
    <row r="673">
      <c r="E673" s="14"/>
    </row>
    <row r="674">
      <c r="E674" s="14"/>
    </row>
    <row r="675">
      <c r="E675" s="14"/>
    </row>
    <row r="676">
      <c r="E676" s="14"/>
    </row>
    <row r="677">
      <c r="E677" s="14"/>
    </row>
    <row r="678">
      <c r="E678" s="14"/>
    </row>
    <row r="679">
      <c r="E679" s="14"/>
    </row>
    <row r="680">
      <c r="E680" s="14"/>
    </row>
    <row r="681">
      <c r="E681" s="14"/>
    </row>
    <row r="682">
      <c r="E682" s="14"/>
    </row>
    <row r="683">
      <c r="E683" s="14"/>
    </row>
    <row r="684">
      <c r="E684" s="14"/>
    </row>
    <row r="685">
      <c r="E685" s="14"/>
    </row>
    <row r="686">
      <c r="E686" s="14"/>
    </row>
    <row r="687">
      <c r="E687" s="14"/>
    </row>
    <row r="688">
      <c r="E688" s="14"/>
    </row>
    <row r="689">
      <c r="E689" s="14"/>
    </row>
    <row r="690">
      <c r="E690" s="14"/>
    </row>
    <row r="691">
      <c r="E691" s="14"/>
    </row>
    <row r="692">
      <c r="E692" s="14"/>
    </row>
    <row r="693">
      <c r="E693" s="14"/>
    </row>
    <row r="694">
      <c r="E694" s="14"/>
    </row>
    <row r="695">
      <c r="E695" s="14"/>
    </row>
    <row r="696">
      <c r="E696" s="14"/>
    </row>
    <row r="697">
      <c r="E697" s="14"/>
    </row>
    <row r="698">
      <c r="E698" s="14"/>
    </row>
    <row r="699">
      <c r="E699" s="14"/>
    </row>
    <row r="700">
      <c r="E700" s="14"/>
    </row>
    <row r="701">
      <c r="E701" s="14"/>
    </row>
    <row r="702">
      <c r="E702" s="14"/>
    </row>
    <row r="703">
      <c r="E703" s="14"/>
    </row>
    <row r="704">
      <c r="E704" s="14"/>
    </row>
    <row r="705">
      <c r="E705" s="14"/>
    </row>
    <row r="706">
      <c r="E706" s="14"/>
    </row>
    <row r="707">
      <c r="E707" s="14"/>
    </row>
    <row r="708">
      <c r="E708" s="14"/>
    </row>
    <row r="709">
      <c r="E709" s="14"/>
    </row>
    <row r="710">
      <c r="E710" s="14"/>
    </row>
    <row r="711">
      <c r="E711" s="14"/>
    </row>
    <row r="712">
      <c r="E712" s="14"/>
    </row>
    <row r="713">
      <c r="E713" s="14"/>
    </row>
    <row r="714">
      <c r="E714" s="14"/>
    </row>
    <row r="715">
      <c r="E715" s="14"/>
    </row>
    <row r="716">
      <c r="E716" s="14"/>
    </row>
    <row r="717">
      <c r="E717" s="14"/>
    </row>
    <row r="718">
      <c r="E718" s="14"/>
    </row>
    <row r="719">
      <c r="E719" s="14"/>
    </row>
    <row r="720">
      <c r="E720" s="14"/>
    </row>
    <row r="721">
      <c r="E721" s="14"/>
    </row>
    <row r="722">
      <c r="E722" s="14"/>
    </row>
    <row r="723">
      <c r="E723" s="14"/>
    </row>
    <row r="724">
      <c r="E724" s="14"/>
    </row>
    <row r="725">
      <c r="E725" s="14"/>
    </row>
    <row r="726">
      <c r="E726" s="14"/>
    </row>
    <row r="727">
      <c r="E727" s="14"/>
    </row>
    <row r="728">
      <c r="E728" s="14"/>
    </row>
    <row r="729">
      <c r="E729" s="14"/>
    </row>
    <row r="730">
      <c r="E730" s="14"/>
    </row>
    <row r="731">
      <c r="E731" s="14"/>
    </row>
    <row r="732">
      <c r="E732" s="14"/>
    </row>
    <row r="733">
      <c r="E733" s="14"/>
    </row>
    <row r="734">
      <c r="E734" s="14"/>
    </row>
    <row r="735">
      <c r="E735" s="14"/>
    </row>
    <row r="736">
      <c r="E736" s="14"/>
    </row>
    <row r="737">
      <c r="E737" s="14"/>
    </row>
    <row r="738">
      <c r="E738" s="14"/>
    </row>
    <row r="739">
      <c r="E739" s="14"/>
    </row>
    <row r="740">
      <c r="E740" s="14"/>
    </row>
    <row r="741">
      <c r="E741" s="14"/>
    </row>
    <row r="742">
      <c r="E742" s="14"/>
    </row>
    <row r="743">
      <c r="E743" s="14"/>
    </row>
    <row r="744">
      <c r="E744" s="14"/>
    </row>
    <row r="745">
      <c r="E745" s="14"/>
    </row>
    <row r="746">
      <c r="E746" s="14"/>
    </row>
    <row r="747">
      <c r="E747" s="14"/>
    </row>
    <row r="748">
      <c r="E748" s="14"/>
    </row>
    <row r="749">
      <c r="E749" s="14"/>
    </row>
    <row r="750">
      <c r="E750" s="14"/>
    </row>
    <row r="751">
      <c r="E751" s="14"/>
    </row>
    <row r="752">
      <c r="E752" s="14"/>
    </row>
    <row r="753">
      <c r="E753" s="14"/>
    </row>
    <row r="754">
      <c r="E754" s="14"/>
    </row>
    <row r="755">
      <c r="E755" s="14"/>
    </row>
    <row r="756">
      <c r="E756" s="14"/>
    </row>
    <row r="757">
      <c r="E757" s="14"/>
    </row>
    <row r="758">
      <c r="E758" s="14"/>
    </row>
    <row r="759">
      <c r="E759" s="14"/>
    </row>
    <row r="760">
      <c r="E760" s="14"/>
    </row>
    <row r="761">
      <c r="E761" s="14"/>
    </row>
    <row r="762">
      <c r="E762" s="14"/>
    </row>
    <row r="763">
      <c r="E763" s="14"/>
    </row>
    <row r="764">
      <c r="E764" s="14"/>
    </row>
    <row r="765">
      <c r="E765" s="14"/>
    </row>
    <row r="766">
      <c r="E766" s="14"/>
    </row>
    <row r="767">
      <c r="E767" s="14"/>
    </row>
    <row r="768">
      <c r="E768" s="14"/>
    </row>
    <row r="769">
      <c r="E769" s="14"/>
    </row>
    <row r="770">
      <c r="E770" s="14"/>
    </row>
    <row r="771">
      <c r="E771" s="14"/>
    </row>
    <row r="772">
      <c r="E772" s="14"/>
    </row>
    <row r="773">
      <c r="E773" s="14"/>
    </row>
    <row r="774">
      <c r="E774" s="14"/>
    </row>
    <row r="775">
      <c r="E775" s="14"/>
    </row>
    <row r="776">
      <c r="E776" s="14"/>
    </row>
    <row r="777">
      <c r="E777" s="14"/>
    </row>
    <row r="778">
      <c r="E778" s="14"/>
    </row>
    <row r="779">
      <c r="E779" s="14"/>
    </row>
    <row r="780">
      <c r="E780" s="14"/>
    </row>
    <row r="781">
      <c r="E781" s="14"/>
    </row>
    <row r="782">
      <c r="E782" s="14"/>
    </row>
    <row r="783">
      <c r="E783" s="14"/>
    </row>
    <row r="784">
      <c r="E784" s="14"/>
    </row>
    <row r="785">
      <c r="E785" s="14"/>
    </row>
    <row r="786">
      <c r="E786" s="14"/>
    </row>
    <row r="787">
      <c r="E787" s="14"/>
    </row>
    <row r="788">
      <c r="E788" s="14"/>
    </row>
    <row r="789">
      <c r="E789" s="14"/>
    </row>
    <row r="790">
      <c r="E790" s="14"/>
    </row>
    <row r="791">
      <c r="E791" s="14"/>
    </row>
    <row r="792">
      <c r="E792" s="14"/>
    </row>
    <row r="793">
      <c r="E793" s="14"/>
    </row>
    <row r="794">
      <c r="E794" s="14"/>
    </row>
    <row r="795">
      <c r="E795" s="14"/>
    </row>
    <row r="796">
      <c r="E796" s="14"/>
    </row>
    <row r="797">
      <c r="E797" s="14"/>
    </row>
    <row r="798">
      <c r="E798" s="14"/>
    </row>
    <row r="799">
      <c r="E799" s="14"/>
    </row>
    <row r="800">
      <c r="E800" s="14"/>
    </row>
    <row r="801">
      <c r="E801" s="14"/>
    </row>
    <row r="802">
      <c r="E802" s="14"/>
    </row>
    <row r="803">
      <c r="E803" s="14"/>
    </row>
    <row r="804">
      <c r="E804" s="14"/>
    </row>
    <row r="805">
      <c r="E805" s="14"/>
    </row>
    <row r="806">
      <c r="E806" s="14"/>
    </row>
    <row r="807">
      <c r="E807" s="14"/>
    </row>
    <row r="808">
      <c r="E808" s="14"/>
    </row>
    <row r="809">
      <c r="E809" s="14"/>
    </row>
    <row r="810">
      <c r="E810" s="14"/>
    </row>
    <row r="811">
      <c r="E811" s="14"/>
    </row>
    <row r="812">
      <c r="E812" s="14"/>
    </row>
    <row r="813">
      <c r="E813" s="14"/>
    </row>
    <row r="814">
      <c r="E814" s="14"/>
    </row>
    <row r="815">
      <c r="E815" s="14"/>
    </row>
    <row r="816">
      <c r="E816" s="14"/>
    </row>
    <row r="817">
      <c r="E817" s="14"/>
    </row>
    <row r="818">
      <c r="E818" s="14"/>
    </row>
    <row r="819">
      <c r="E819" s="14"/>
    </row>
    <row r="820">
      <c r="E820" s="14"/>
    </row>
    <row r="821">
      <c r="E821" s="14"/>
    </row>
    <row r="822">
      <c r="E822" s="14"/>
    </row>
    <row r="823">
      <c r="E823" s="14"/>
    </row>
    <row r="824">
      <c r="E824" s="14"/>
    </row>
    <row r="825">
      <c r="E825" s="14"/>
    </row>
    <row r="826">
      <c r="E826" s="14"/>
    </row>
    <row r="827">
      <c r="E827" s="14"/>
    </row>
    <row r="828">
      <c r="E828" s="14"/>
    </row>
    <row r="829">
      <c r="E829" s="14"/>
    </row>
    <row r="830">
      <c r="E830" s="14"/>
    </row>
    <row r="831">
      <c r="E831" s="14"/>
    </row>
    <row r="832">
      <c r="E832" s="14"/>
    </row>
    <row r="833">
      <c r="E833" s="14"/>
    </row>
    <row r="834">
      <c r="E834" s="14"/>
    </row>
    <row r="835">
      <c r="E835" s="14"/>
    </row>
    <row r="836">
      <c r="E836" s="14"/>
    </row>
    <row r="837">
      <c r="E837" s="14"/>
    </row>
    <row r="838">
      <c r="E838" s="14"/>
    </row>
    <row r="839">
      <c r="E839" s="14"/>
    </row>
    <row r="840">
      <c r="E840" s="14"/>
    </row>
    <row r="841">
      <c r="E841" s="14"/>
    </row>
    <row r="842">
      <c r="E842" s="14"/>
    </row>
    <row r="843">
      <c r="E843" s="14"/>
    </row>
    <row r="844">
      <c r="E844" s="14"/>
    </row>
    <row r="845">
      <c r="E845" s="14"/>
    </row>
    <row r="846">
      <c r="E846" s="14"/>
    </row>
    <row r="847">
      <c r="E847" s="14"/>
    </row>
    <row r="848">
      <c r="E848" s="14"/>
    </row>
    <row r="849">
      <c r="E849" s="14"/>
    </row>
    <row r="850">
      <c r="E850" s="14"/>
    </row>
    <row r="851">
      <c r="E851" s="14"/>
    </row>
    <row r="852">
      <c r="E852" s="14"/>
    </row>
    <row r="853">
      <c r="E853" s="14"/>
    </row>
    <row r="854">
      <c r="E854" s="14"/>
    </row>
    <row r="855">
      <c r="E855" s="14"/>
    </row>
    <row r="856">
      <c r="E856" s="14"/>
    </row>
    <row r="857">
      <c r="E857" s="14"/>
    </row>
    <row r="858">
      <c r="E858" s="14"/>
    </row>
    <row r="859">
      <c r="E859" s="14"/>
    </row>
    <row r="860">
      <c r="E860" s="14"/>
    </row>
    <row r="861">
      <c r="E861" s="14"/>
    </row>
    <row r="862">
      <c r="E862" s="14"/>
    </row>
    <row r="863">
      <c r="E863" s="14"/>
    </row>
    <row r="864">
      <c r="E864" s="14"/>
    </row>
    <row r="865">
      <c r="E865" s="14"/>
    </row>
    <row r="866">
      <c r="E866" s="14"/>
    </row>
    <row r="867">
      <c r="E867" s="14"/>
    </row>
    <row r="868">
      <c r="E868" s="14"/>
    </row>
    <row r="869">
      <c r="E869" s="14"/>
    </row>
    <row r="870">
      <c r="E870" s="14"/>
    </row>
    <row r="871">
      <c r="E871" s="14"/>
    </row>
    <row r="872">
      <c r="E872" s="14"/>
    </row>
    <row r="873">
      <c r="E873" s="14"/>
    </row>
    <row r="874">
      <c r="E874" s="14"/>
    </row>
    <row r="875">
      <c r="E875" s="14"/>
    </row>
    <row r="876">
      <c r="E876" s="14"/>
    </row>
    <row r="877">
      <c r="E877" s="14"/>
    </row>
    <row r="878">
      <c r="E878" s="14"/>
    </row>
    <row r="879">
      <c r="E879" s="14"/>
    </row>
    <row r="880">
      <c r="E880" s="14"/>
    </row>
    <row r="881">
      <c r="E881" s="14"/>
    </row>
    <row r="882">
      <c r="E882" s="14"/>
    </row>
    <row r="883">
      <c r="E883" s="14"/>
    </row>
    <row r="884">
      <c r="E884" s="14"/>
    </row>
    <row r="885">
      <c r="E885" s="14"/>
    </row>
    <row r="886">
      <c r="E886" s="14"/>
    </row>
    <row r="887">
      <c r="E887" s="14"/>
    </row>
    <row r="888">
      <c r="E888" s="14"/>
    </row>
    <row r="889">
      <c r="E889" s="14"/>
    </row>
    <row r="890">
      <c r="E890" s="14"/>
    </row>
    <row r="891">
      <c r="E891" s="14"/>
    </row>
    <row r="892">
      <c r="E892" s="14"/>
    </row>
    <row r="893">
      <c r="E893" s="14"/>
    </row>
    <row r="894">
      <c r="E894" s="14"/>
    </row>
    <row r="895">
      <c r="E895" s="14"/>
    </row>
    <row r="896">
      <c r="E896" s="14"/>
    </row>
    <row r="897">
      <c r="E897" s="14"/>
    </row>
    <row r="898">
      <c r="E898" s="14"/>
    </row>
    <row r="899">
      <c r="E899" s="14"/>
    </row>
    <row r="900">
      <c r="E900" s="14"/>
    </row>
    <row r="901">
      <c r="E901" s="14"/>
    </row>
    <row r="902">
      <c r="E902" s="14"/>
    </row>
    <row r="903">
      <c r="E903" s="14"/>
    </row>
    <row r="904">
      <c r="E904" s="14"/>
    </row>
    <row r="905">
      <c r="E905" s="14"/>
    </row>
    <row r="906">
      <c r="E906" s="14"/>
    </row>
    <row r="907">
      <c r="E907" s="14"/>
    </row>
    <row r="908">
      <c r="E908" s="14"/>
    </row>
    <row r="909">
      <c r="E909" s="14"/>
    </row>
    <row r="910">
      <c r="E910" s="14"/>
    </row>
    <row r="911">
      <c r="E911" s="14"/>
    </row>
    <row r="912">
      <c r="E912" s="14"/>
    </row>
    <row r="913">
      <c r="E913" s="14"/>
    </row>
    <row r="914">
      <c r="E914" s="14"/>
    </row>
    <row r="915">
      <c r="E915" s="14"/>
    </row>
    <row r="916">
      <c r="E916" s="14"/>
    </row>
    <row r="917">
      <c r="E917" s="14"/>
    </row>
    <row r="918">
      <c r="E918" s="14"/>
    </row>
    <row r="919">
      <c r="E919" s="14"/>
    </row>
    <row r="920">
      <c r="E920" s="14"/>
    </row>
    <row r="921">
      <c r="E921" s="14"/>
    </row>
    <row r="922">
      <c r="E922" s="14"/>
    </row>
    <row r="923">
      <c r="E923" s="14"/>
    </row>
    <row r="924">
      <c r="E924" s="14"/>
    </row>
    <row r="925">
      <c r="E925" s="14"/>
    </row>
    <row r="926">
      <c r="E926" s="14"/>
    </row>
    <row r="927">
      <c r="E927" s="14"/>
    </row>
    <row r="928">
      <c r="E928" s="14"/>
    </row>
    <row r="929">
      <c r="E929" s="14"/>
    </row>
    <row r="930">
      <c r="E930" s="14"/>
    </row>
    <row r="931">
      <c r="E931" s="14"/>
    </row>
    <row r="932">
      <c r="E932" s="14"/>
    </row>
    <row r="933">
      <c r="E933" s="14"/>
    </row>
    <row r="934">
      <c r="E934" s="14"/>
    </row>
    <row r="935">
      <c r="E935" s="14"/>
    </row>
    <row r="936">
      <c r="E936" s="14"/>
    </row>
    <row r="937">
      <c r="E937" s="14"/>
    </row>
    <row r="938">
      <c r="E938" s="14"/>
    </row>
    <row r="939">
      <c r="E939" s="14"/>
    </row>
    <row r="940">
      <c r="E940" s="14"/>
    </row>
    <row r="941">
      <c r="E941" s="14"/>
    </row>
    <row r="942">
      <c r="E942" s="14"/>
    </row>
    <row r="943">
      <c r="E943" s="14"/>
    </row>
    <row r="944">
      <c r="E944" s="14"/>
    </row>
    <row r="945">
      <c r="E945" s="14"/>
    </row>
    <row r="946">
      <c r="E946" s="14"/>
    </row>
    <row r="947">
      <c r="E947" s="14"/>
    </row>
    <row r="948">
      <c r="E948" s="14"/>
    </row>
    <row r="949">
      <c r="E949" s="14"/>
    </row>
    <row r="950">
      <c r="E950" s="14"/>
    </row>
    <row r="951">
      <c r="E951" s="14"/>
    </row>
    <row r="952">
      <c r="E952" s="14"/>
    </row>
    <row r="953">
      <c r="E953" s="14"/>
    </row>
    <row r="954">
      <c r="E954" s="14"/>
    </row>
    <row r="955">
      <c r="E955" s="14"/>
    </row>
    <row r="956">
      <c r="E956" s="14"/>
    </row>
    <row r="957">
      <c r="E957" s="14"/>
    </row>
    <row r="958">
      <c r="E958" s="14"/>
    </row>
    <row r="959">
      <c r="E959" s="14"/>
    </row>
    <row r="960">
      <c r="E960" s="14"/>
    </row>
    <row r="961">
      <c r="E961" s="14"/>
    </row>
    <row r="962">
      <c r="E962" s="14"/>
    </row>
    <row r="963">
      <c r="E963" s="14"/>
    </row>
    <row r="964">
      <c r="E964" s="14"/>
    </row>
    <row r="965">
      <c r="E965" s="14"/>
    </row>
    <row r="966">
      <c r="E966" s="14"/>
    </row>
    <row r="967">
      <c r="E967" s="14"/>
    </row>
    <row r="968">
      <c r="E968" s="14"/>
    </row>
    <row r="969">
      <c r="E969" s="14"/>
    </row>
    <row r="970">
      <c r="E970" s="14"/>
    </row>
    <row r="971">
      <c r="E971" s="14"/>
    </row>
    <row r="972">
      <c r="E972" s="14"/>
    </row>
    <row r="973">
      <c r="E973" s="14"/>
    </row>
    <row r="974">
      <c r="E974" s="14"/>
    </row>
    <row r="975">
      <c r="E975" s="14"/>
    </row>
    <row r="976">
      <c r="E976" s="14"/>
    </row>
    <row r="977">
      <c r="E977" s="14"/>
    </row>
    <row r="978">
      <c r="E978" s="14"/>
    </row>
    <row r="979">
      <c r="E979" s="14"/>
    </row>
    <row r="980">
      <c r="E980" s="14"/>
    </row>
    <row r="981">
      <c r="E981" s="14"/>
    </row>
    <row r="982">
      <c r="E982" s="14"/>
    </row>
    <row r="983">
      <c r="E983" s="14"/>
    </row>
    <row r="984">
      <c r="E984" s="14"/>
    </row>
    <row r="985">
      <c r="E985" s="14"/>
    </row>
    <row r="986">
      <c r="E986" s="14"/>
    </row>
    <row r="987">
      <c r="E987" s="14"/>
    </row>
    <row r="988">
      <c r="E988" s="14"/>
    </row>
    <row r="989">
      <c r="E989" s="14"/>
    </row>
    <row r="990">
      <c r="E990" s="14"/>
    </row>
    <row r="991">
      <c r="E991" s="14"/>
    </row>
    <row r="992">
      <c r="E992" s="14"/>
    </row>
    <row r="993">
      <c r="E993" s="14"/>
    </row>
    <row r="994">
      <c r="E994" s="14"/>
    </row>
    <row r="995">
      <c r="E995" s="14"/>
    </row>
    <row r="996">
      <c r="E996" s="14"/>
    </row>
    <row r="997">
      <c r="E997" s="14"/>
    </row>
    <row r="998">
      <c r="E998" s="14"/>
    </row>
    <row r="999">
      <c r="E999" s="14"/>
    </row>
    <row r="1000">
      <c r="E1000" s="14"/>
    </row>
    <row r="1001">
      <c r="E1001" s="14"/>
    </row>
    <row r="1002">
      <c r="E1002" s="14"/>
    </row>
    <row r="1003">
      <c r="E1003" s="14"/>
    </row>
    <row r="1004">
      <c r="E1004" s="14"/>
    </row>
    <row r="1005">
      <c r="E1005" s="14"/>
    </row>
    <row r="1006">
      <c r="E1006" s="14"/>
    </row>
    <row r="1007">
      <c r="E1007" s="14"/>
    </row>
    <row r="1008">
      <c r="E1008" s="14"/>
    </row>
    <row r="1009">
      <c r="E1009" s="14"/>
    </row>
    <row r="1010">
      <c r="E1010" s="14"/>
    </row>
    <row r="1011">
      <c r="E1011" s="14"/>
    </row>
    <row r="1012">
      <c r="E1012" s="14"/>
    </row>
    <row r="1013">
      <c r="E1013" s="14"/>
    </row>
    <row r="1014">
      <c r="E1014" s="14"/>
    </row>
    <row r="1015">
      <c r="E1015" s="14"/>
    </row>
    <row r="1016">
      <c r="E1016" s="14"/>
    </row>
    <row r="1017">
      <c r="E1017" s="14"/>
    </row>
    <row r="1018">
      <c r="E1018" s="14"/>
    </row>
    <row r="1019">
      <c r="E1019" s="14"/>
    </row>
    <row r="1020">
      <c r="E1020" s="14"/>
    </row>
    <row r="1021">
      <c r="E1021" s="14"/>
    </row>
    <row r="1022">
      <c r="E1022" s="14"/>
    </row>
    <row r="1023">
      <c r="E1023" s="14"/>
    </row>
    <row r="1024">
      <c r="E1024" s="14"/>
    </row>
    <row r="1025">
      <c r="E1025" s="14"/>
    </row>
    <row r="1026">
      <c r="E1026" s="14"/>
    </row>
    <row r="1027">
      <c r="E1027" s="14"/>
    </row>
  </sheetData>
  <hyperlinks>
    <hyperlink r:id="rId4" ref="B33"/>
    <hyperlink r:id="rId5" ref="B36"/>
  </hyperlinks>
  <drawing r:id="rId6"/>
  <legacy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62.13"/>
    <col customWidth="1" min="3" max="3" width="26.5"/>
    <col customWidth="1" min="4" max="4" width="36.63"/>
    <col customWidth="1" min="5" max="5" width="32.5"/>
  </cols>
  <sheetData>
    <row r="2">
      <c r="B2" s="60" t="s">
        <v>83</v>
      </c>
      <c r="C2" s="61" t="s">
        <v>84</v>
      </c>
      <c r="D2" s="61" t="s">
        <v>85</v>
      </c>
      <c r="E2" s="61" t="s">
        <v>86</v>
      </c>
    </row>
    <row r="3">
      <c r="B3" s="5" t="s">
        <v>87</v>
      </c>
      <c r="C3" s="62">
        <f>AVERAGE(Data!E41,Data!E42,Data!E44,Data!E45,Data!E47,Data!E48,Data!E49,Data!E50,Data!E51)</f>
        <v>409.4884588</v>
      </c>
      <c r="D3" s="62">
        <f>AVERAGE(Data!L41,Data!L42,Data!L44,Data!L45,Data!L47,Data!L48,Data!L49,Data!L50,Data!L51)</f>
        <v>34.20152548</v>
      </c>
      <c r="E3" s="63">
        <f>AVERAGE(Data!N41,Data!N42,Data!N44,Data!N45,Data!N47,Data!N48,Data!N49,Data!N50,Data!N51)</f>
        <v>375.2869333</v>
      </c>
    </row>
    <row r="4">
      <c r="B4" s="5" t="s">
        <v>88</v>
      </c>
      <c r="C4" s="62">
        <f>Data!E40</f>
        <v>329.07552</v>
      </c>
      <c r="D4" s="62">
        <f>Data!L40</f>
        <v>54.46944</v>
      </c>
      <c r="E4" s="63">
        <f>Data!N40</f>
        <v>274.60608</v>
      </c>
    </row>
    <row r="5">
      <c r="B5" s="5" t="s">
        <v>89</v>
      </c>
      <c r="C5" s="62">
        <f>AVERAGE(Data!E16:E40)</f>
        <v>384.8532159</v>
      </c>
      <c r="D5" s="62">
        <f>AVERAGE(Data!L16:L40)</f>
        <v>22.28621431</v>
      </c>
      <c r="E5" s="63">
        <f>AVERAGE(Data!N16:N40)</f>
        <v>362.5670016</v>
      </c>
    </row>
    <row r="6">
      <c r="B6" s="5" t="s">
        <v>90</v>
      </c>
      <c r="C6" s="62">
        <f>AVERAGE('Exhibit - Total ADTs'!M8:M17)</f>
        <v>260.7301073</v>
      </c>
      <c r="D6" s="62">
        <f>AVERAGE('Exhibit - Total ADTs'!H8:H17)</f>
        <v>21.19247171</v>
      </c>
      <c r="E6" s="62">
        <f>AVERAGE('Exhibit - Total ADTs'!K8:K18)</f>
        <v>245.2971624</v>
      </c>
    </row>
    <row r="7">
      <c r="B7" s="5" t="s">
        <v>91</v>
      </c>
      <c r="C7" s="62">
        <f>AVERAGE(Data!E11:E14)</f>
        <v>640.7662723</v>
      </c>
      <c r="D7" s="62">
        <f>MEDIAN(Data!L11:L14)</f>
        <v>273.648</v>
      </c>
      <c r="E7" s="63">
        <f>MEDIAN(Data!N11:N14)</f>
        <v>345.3</v>
      </c>
    </row>
    <row r="8">
      <c r="B8" s="5" t="s">
        <v>92</v>
      </c>
      <c r="C8" s="59">
        <f t="shared" ref="C8:C9" si="1">SUM(D8:E8)</f>
        <v>594.6666667</v>
      </c>
      <c r="D8" s="62">
        <f>'Exhibit - Total ADTs'!H22</f>
        <v>302.962963</v>
      </c>
      <c r="E8" s="62">
        <f>'Exhibit - Total ADTs'!K22</f>
        <v>291.7037037</v>
      </c>
    </row>
    <row r="9">
      <c r="B9" s="64" t="s">
        <v>93</v>
      </c>
      <c r="C9" s="65">
        <f t="shared" si="1"/>
        <v>626.4489796</v>
      </c>
      <c r="D9" s="66">
        <f>'Exhibit - Post Dowe Flats ADTs'!H15</f>
        <v>320.8571429</v>
      </c>
      <c r="E9" s="66">
        <f>'Exhibit - Post Dowe Flats ADTs'!J15</f>
        <v>305.5918367</v>
      </c>
    </row>
    <row r="10">
      <c r="B10" s="67"/>
      <c r="C10" s="68"/>
      <c r="D10" s="68"/>
      <c r="E10" s="68"/>
    </row>
    <row r="11">
      <c r="B11" s="69" t="s">
        <v>94</v>
      </c>
      <c r="C11" s="70">
        <f t="shared" ref="C11:E11" si="2">C8-C3</f>
        <v>185.1782079</v>
      </c>
      <c r="D11" s="70">
        <f t="shared" si="2"/>
        <v>268.7614375</v>
      </c>
      <c r="E11" s="70">
        <f t="shared" si="2"/>
        <v>-83.58322963</v>
      </c>
    </row>
    <row r="12">
      <c r="B12" s="69" t="s">
        <v>95</v>
      </c>
      <c r="C12" s="71">
        <f t="shared" ref="C12:E12" si="3">C8-C4</f>
        <v>265.5911467</v>
      </c>
      <c r="D12" s="71">
        <f t="shared" si="3"/>
        <v>248.493523</v>
      </c>
      <c r="E12" s="71">
        <f t="shared" si="3"/>
        <v>17.0976237</v>
      </c>
    </row>
    <row r="13">
      <c r="B13" s="69" t="s">
        <v>96</v>
      </c>
      <c r="C13" s="71">
        <f t="shared" ref="C13:E13" si="4">C8-C5</f>
        <v>209.8134508</v>
      </c>
      <c r="D13" s="71">
        <f t="shared" si="4"/>
        <v>280.6767487</v>
      </c>
      <c r="E13" s="72">
        <f t="shared" si="4"/>
        <v>-70.8632979</v>
      </c>
    </row>
    <row r="14">
      <c r="B14" s="69" t="s">
        <v>97</v>
      </c>
      <c r="C14" s="71">
        <f t="shared" ref="C14:E14" si="5">C8-C6</f>
        <v>333.9365594</v>
      </c>
      <c r="D14" s="71">
        <f t="shared" si="5"/>
        <v>281.7704912</v>
      </c>
      <c r="E14" s="71">
        <f t="shared" si="5"/>
        <v>46.40654132</v>
      </c>
    </row>
    <row r="15">
      <c r="B15" s="69"/>
      <c r="C15" s="73"/>
      <c r="D15" s="73"/>
      <c r="E15" s="73"/>
    </row>
    <row r="16">
      <c r="B16" s="69" t="s">
        <v>98</v>
      </c>
      <c r="C16" s="70">
        <f t="shared" ref="C16:E16" si="6">C9-C3</f>
        <v>216.9605208</v>
      </c>
      <c r="D16" s="70">
        <f t="shared" si="6"/>
        <v>286.6556174</v>
      </c>
      <c r="E16" s="70">
        <f t="shared" si="6"/>
        <v>-69.6950966</v>
      </c>
    </row>
    <row r="17">
      <c r="B17" s="69" t="s">
        <v>99</v>
      </c>
      <c r="C17" s="71">
        <f t="shared" ref="C17:E17" si="7">C9-C4</f>
        <v>297.3734596</v>
      </c>
      <c r="D17" s="71">
        <f t="shared" si="7"/>
        <v>266.3877029</v>
      </c>
      <c r="E17" s="71">
        <f t="shared" si="7"/>
        <v>30.98575673</v>
      </c>
    </row>
    <row r="18">
      <c r="B18" s="69" t="s">
        <v>100</v>
      </c>
      <c r="C18" s="71">
        <f t="shared" ref="C18:E18" si="8">C9-C5</f>
        <v>241.5957637</v>
      </c>
      <c r="D18" s="71">
        <f t="shared" si="8"/>
        <v>298.5709285</v>
      </c>
      <c r="E18" s="72">
        <f t="shared" si="8"/>
        <v>-56.97516487</v>
      </c>
    </row>
    <row r="19">
      <c r="B19" s="69" t="s">
        <v>101</v>
      </c>
      <c r="C19" s="71">
        <f t="shared" ref="C19:E19" si="9">C9-C6</f>
        <v>365.7188723</v>
      </c>
      <c r="D19" s="71">
        <f t="shared" si="9"/>
        <v>299.6646711</v>
      </c>
      <c r="E19" s="71">
        <f t="shared" si="9"/>
        <v>60.29467435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63"/>
    <col customWidth="1" min="3" max="3" width="24.13"/>
    <col customWidth="1" min="6" max="6" width="15.13"/>
    <col customWidth="1" min="7" max="7" width="17.13"/>
    <col customWidth="1" min="10" max="10" width="16.75"/>
    <col customWidth="1" min="11" max="11" width="18.25"/>
  </cols>
  <sheetData>
    <row r="1">
      <c r="B1" s="1" t="s">
        <v>102</v>
      </c>
    </row>
    <row r="4" ht="62.25" customHeight="1">
      <c r="C4" s="74" t="s">
        <v>48</v>
      </c>
      <c r="D4" s="74" t="s">
        <v>103</v>
      </c>
      <c r="E4" s="74" t="s">
        <v>104</v>
      </c>
      <c r="F4" s="74" t="s">
        <v>105</v>
      </c>
      <c r="G4" s="74" t="s">
        <v>106</v>
      </c>
      <c r="H4" s="74" t="s">
        <v>107</v>
      </c>
      <c r="I4" s="74" t="s">
        <v>108</v>
      </c>
      <c r="J4" s="74" t="s">
        <v>109</v>
      </c>
    </row>
    <row r="5">
      <c r="C5" s="14"/>
    </row>
    <row r="6">
      <c r="B6" s="75" t="s">
        <v>110</v>
      </c>
      <c r="C6" s="76">
        <v>2014.0</v>
      </c>
      <c r="D6" s="76">
        <v>9602.0</v>
      </c>
      <c r="E6" s="76">
        <v>250.0</v>
      </c>
      <c r="F6" s="77">
        <v>96.0</v>
      </c>
      <c r="G6" s="78">
        <f>Data!$C$7*Data!$C$8*F6</f>
        <v>576</v>
      </c>
      <c r="H6" s="79">
        <f t="shared" ref="H6:H15" si="1">D6/E6</f>
        <v>38.408</v>
      </c>
      <c r="I6" s="80">
        <f>H6*Data!$C$7*Data!$C$8</f>
        <v>230.448</v>
      </c>
      <c r="J6" s="81">
        <f t="shared" ref="J6:J15" si="2">G6-I6</f>
        <v>345.552</v>
      </c>
    </row>
    <row r="7">
      <c r="B7" s="82"/>
      <c r="C7" s="76">
        <v>2015.0</v>
      </c>
      <c r="D7" s="76">
        <v>8729.0</v>
      </c>
      <c r="E7" s="76">
        <v>250.0</v>
      </c>
      <c r="F7" s="77">
        <v>53.0</v>
      </c>
      <c r="G7" s="78">
        <f>Data!$C$7*Data!$C$8*F7</f>
        <v>318</v>
      </c>
      <c r="H7" s="79">
        <f t="shared" si="1"/>
        <v>34.916</v>
      </c>
      <c r="I7" s="80">
        <f>H7*Data!$C$7*Data!$C$8</f>
        <v>209.496</v>
      </c>
      <c r="J7" s="81">
        <f t="shared" si="2"/>
        <v>108.504</v>
      </c>
    </row>
    <row r="8">
      <c r="B8" s="82"/>
      <c r="C8" s="76">
        <v>2016.0</v>
      </c>
      <c r="D8" s="76">
        <v>11305.0</v>
      </c>
      <c r="E8" s="76">
        <v>252.0</v>
      </c>
      <c r="F8" s="77">
        <v>63.0</v>
      </c>
      <c r="G8" s="78">
        <f>Data!$C$7*Data!$C$8*F8</f>
        <v>378</v>
      </c>
      <c r="H8" s="79">
        <f t="shared" si="1"/>
        <v>44.86111111</v>
      </c>
      <c r="I8" s="80">
        <f>H8*Data!$C$7*Data!$C$8</f>
        <v>269.1666667</v>
      </c>
      <c r="J8" s="81">
        <f t="shared" si="2"/>
        <v>108.8333333</v>
      </c>
    </row>
    <row r="9">
      <c r="B9" s="82"/>
      <c r="C9" s="76">
        <v>2017.0</v>
      </c>
      <c r="D9" s="76">
        <v>14330.0</v>
      </c>
      <c r="E9" s="76">
        <v>251.0</v>
      </c>
      <c r="F9" s="77">
        <v>93.0</v>
      </c>
      <c r="G9" s="78">
        <f>Data!$C$7*Data!$C$8*F9</f>
        <v>558</v>
      </c>
      <c r="H9" s="79">
        <f t="shared" si="1"/>
        <v>57.09163347</v>
      </c>
      <c r="I9" s="80">
        <f>H9*Data!$C$7*Data!$C$8</f>
        <v>342.5498008</v>
      </c>
      <c r="J9" s="81">
        <f t="shared" si="2"/>
        <v>215.4501992</v>
      </c>
    </row>
    <row r="10">
      <c r="B10" s="82"/>
      <c r="C10" s="76">
        <v>2018.0</v>
      </c>
      <c r="D10" s="76">
        <v>14557.0</v>
      </c>
      <c r="E10" s="76">
        <v>251.0</v>
      </c>
      <c r="F10" s="77">
        <v>75.0</v>
      </c>
      <c r="G10" s="78">
        <f>Data!$C$7*Data!$C$8*F10</f>
        <v>450</v>
      </c>
      <c r="H10" s="79">
        <f t="shared" si="1"/>
        <v>57.99601594</v>
      </c>
      <c r="I10" s="80">
        <f>H10*Data!$C$7*Data!$C$8</f>
        <v>347.9760956</v>
      </c>
      <c r="J10" s="81">
        <f t="shared" si="2"/>
        <v>102.0239044</v>
      </c>
    </row>
    <row r="11">
      <c r="B11" s="82"/>
      <c r="C11" s="76">
        <v>2019.0</v>
      </c>
      <c r="D11" s="76">
        <v>19478.0</v>
      </c>
      <c r="E11" s="76">
        <v>251.0</v>
      </c>
      <c r="F11" s="77">
        <v>64.0</v>
      </c>
      <c r="G11" s="78">
        <f>Data!$C$7*Data!$C$8*F11</f>
        <v>384</v>
      </c>
      <c r="H11" s="79">
        <f t="shared" si="1"/>
        <v>77.60159363</v>
      </c>
      <c r="I11" s="80">
        <f>H11*Data!$C$7*Data!$C$8</f>
        <v>465.6095618</v>
      </c>
      <c r="J11" s="81">
        <f t="shared" si="2"/>
        <v>-81.60956175</v>
      </c>
    </row>
    <row r="12">
      <c r="B12" s="82"/>
      <c r="C12" s="76">
        <v>2020.0</v>
      </c>
      <c r="D12" s="76">
        <v>28481.0</v>
      </c>
      <c r="E12" s="76">
        <v>250.0</v>
      </c>
      <c r="F12" s="77">
        <v>98.0</v>
      </c>
      <c r="G12" s="78">
        <f>Data!$C$7*Data!$C$8*F12</f>
        <v>588</v>
      </c>
      <c r="H12" s="79">
        <f t="shared" si="1"/>
        <v>113.924</v>
      </c>
      <c r="I12" s="80">
        <f>H12*Data!$C$7*Data!$C$8</f>
        <v>683.544</v>
      </c>
      <c r="J12" s="81">
        <f t="shared" si="2"/>
        <v>-95.544</v>
      </c>
    </row>
    <row r="13">
      <c r="B13" s="82"/>
      <c r="C13" s="76">
        <v>2021.0</v>
      </c>
      <c r="D13" s="76">
        <v>23277.0</v>
      </c>
      <c r="E13" s="76">
        <v>251.0</v>
      </c>
      <c r="F13" s="77">
        <v>79.0</v>
      </c>
      <c r="G13" s="78">
        <f>Data!$C$7*Data!$C$8*F13</f>
        <v>474</v>
      </c>
      <c r="H13" s="79">
        <f t="shared" si="1"/>
        <v>92.73705179</v>
      </c>
      <c r="I13" s="80">
        <f>H13*Data!$C$7*Data!$C$8</f>
        <v>556.4223108</v>
      </c>
      <c r="J13" s="81">
        <f t="shared" si="2"/>
        <v>-82.42231076</v>
      </c>
    </row>
    <row r="14">
      <c r="B14" s="8"/>
      <c r="C14" s="76">
        <v>2022.0</v>
      </c>
      <c r="D14" s="76">
        <v>24660.0</v>
      </c>
      <c r="E14" s="76">
        <v>251.0</v>
      </c>
      <c r="F14" s="77">
        <v>82.0</v>
      </c>
      <c r="G14" s="78">
        <f>Data!$C$7*Data!$C$8*F14</f>
        <v>492</v>
      </c>
      <c r="H14" s="79">
        <f t="shared" si="1"/>
        <v>98.24701195</v>
      </c>
      <c r="I14" s="80">
        <f>H14*Data!$C$7*Data!$C$8</f>
        <v>589.4820717</v>
      </c>
      <c r="J14" s="81">
        <f t="shared" si="2"/>
        <v>-97.48207171</v>
      </c>
    </row>
    <row r="15">
      <c r="B15" s="76" t="s">
        <v>111</v>
      </c>
      <c r="C15" s="76">
        <v>2023.0</v>
      </c>
      <c r="D15" s="76">
        <v>20106.0</v>
      </c>
      <c r="E15" s="76">
        <v>251.0</v>
      </c>
      <c r="F15" s="77">
        <v>67.0</v>
      </c>
      <c r="G15" s="78">
        <f>Data!$C$7*Data!$C$8*F15</f>
        <v>402</v>
      </c>
      <c r="H15" s="79">
        <f t="shared" si="1"/>
        <v>80.10358566</v>
      </c>
      <c r="I15" s="80">
        <f>H15*Data!$C$7*Data!$C$8</f>
        <v>480.6215139</v>
      </c>
      <c r="J15" s="81">
        <f t="shared" si="2"/>
        <v>-78.62151394</v>
      </c>
    </row>
    <row r="17">
      <c r="H17" s="58"/>
      <c r="I17" s="58"/>
    </row>
    <row r="18">
      <c r="H18" s="58"/>
      <c r="I18" s="58"/>
    </row>
    <row r="19">
      <c r="H19" s="58"/>
      <c r="I19" s="58"/>
    </row>
    <row r="20">
      <c r="H20" s="58"/>
      <c r="I20" s="58"/>
    </row>
    <row r="21">
      <c r="H21" s="58"/>
      <c r="I21" s="58"/>
    </row>
    <row r="22">
      <c r="H22" s="58"/>
      <c r="I22" s="58"/>
    </row>
    <row r="23">
      <c r="H23" s="58"/>
      <c r="I23" s="58"/>
    </row>
  </sheetData>
  <mergeCells count="1">
    <mergeCell ref="B6:B1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63"/>
    <col customWidth="1" min="3" max="3" width="24.13"/>
    <col customWidth="1" min="8" max="8" width="11.13"/>
  </cols>
  <sheetData>
    <row r="1">
      <c r="B1" s="1" t="s">
        <v>112</v>
      </c>
    </row>
    <row r="4" ht="62.25" customHeight="1">
      <c r="C4" s="74" t="s">
        <v>48</v>
      </c>
      <c r="D4" s="74" t="s">
        <v>113</v>
      </c>
      <c r="E4" s="74" t="s">
        <v>104</v>
      </c>
      <c r="F4" s="74" t="s">
        <v>114</v>
      </c>
      <c r="G4" s="74" t="s">
        <v>115</v>
      </c>
      <c r="H4" s="74" t="s">
        <v>116</v>
      </c>
    </row>
    <row r="5" hidden="1">
      <c r="B5" s="75" t="s">
        <v>110</v>
      </c>
      <c r="C5" s="76">
        <v>2006.0</v>
      </c>
      <c r="D5" s="83">
        <f>Data!K28</f>
        <v>955</v>
      </c>
      <c r="E5" s="76">
        <v>252.0</v>
      </c>
      <c r="F5" s="79">
        <f t="shared" ref="F5:F22" si="1">D5/E5</f>
        <v>3.78968254</v>
      </c>
      <c r="G5" s="84">
        <f>F5*Data!$C$7*Data!$C$8</f>
        <v>22.73809524</v>
      </c>
      <c r="H5" s="84">
        <f t="shared" ref="H5:H7" si="2">MEDIAN($G$5:$G$22)</f>
        <v>23.05829065</v>
      </c>
    </row>
    <row r="6" hidden="1">
      <c r="B6" s="82"/>
      <c r="C6" s="76">
        <v>2007.0</v>
      </c>
      <c r="D6" s="83">
        <f>Data!K27</f>
        <v>950</v>
      </c>
      <c r="E6" s="76">
        <v>251.0</v>
      </c>
      <c r="F6" s="79">
        <f t="shared" si="1"/>
        <v>3.784860558</v>
      </c>
      <c r="G6" s="84">
        <f>F6*Data!$C$7*Data!$C$8</f>
        <v>22.70916335</v>
      </c>
      <c r="H6" s="84">
        <f t="shared" si="2"/>
        <v>23.05829065</v>
      </c>
    </row>
    <row r="7" hidden="1">
      <c r="B7" s="82"/>
      <c r="C7" s="76">
        <v>2008.0</v>
      </c>
      <c r="D7" s="83">
        <f>Data!K26</f>
        <v>1035</v>
      </c>
      <c r="E7" s="76">
        <v>251.0</v>
      </c>
      <c r="F7" s="79">
        <f t="shared" si="1"/>
        <v>4.123505976</v>
      </c>
      <c r="G7" s="84">
        <f>F7*Data!$C$7*Data!$C$8</f>
        <v>24.74103586</v>
      </c>
      <c r="H7" s="84">
        <f t="shared" si="2"/>
        <v>23.05829065</v>
      </c>
    </row>
    <row r="8">
      <c r="B8" s="82"/>
      <c r="C8" s="76">
        <v>2009.0</v>
      </c>
      <c r="D8" s="83">
        <f>Data!K25</f>
        <v>392</v>
      </c>
      <c r="E8" s="76">
        <v>251.0</v>
      </c>
      <c r="F8" s="85">
        <f t="shared" si="1"/>
        <v>1.561752988</v>
      </c>
      <c r="G8" s="84">
        <f>F8*Data!$C$7*Data!$C$8</f>
        <v>9.370517928</v>
      </c>
      <c r="H8" s="84">
        <f t="shared" ref="H8:H22" si="3">MEDIAN($G$8:$G$22)</f>
        <v>23.37848606</v>
      </c>
    </row>
    <row r="9">
      <c r="B9" s="82"/>
      <c r="C9" s="76">
        <v>2010.0</v>
      </c>
      <c r="D9" s="83">
        <f>Data!K24</f>
        <v>734</v>
      </c>
      <c r="E9" s="76">
        <v>250.0</v>
      </c>
      <c r="F9" s="85">
        <f t="shared" si="1"/>
        <v>2.936</v>
      </c>
      <c r="G9" s="84">
        <f>F9*Data!$C$7*Data!$C$8</f>
        <v>17.616</v>
      </c>
      <c r="H9" s="84">
        <f t="shared" si="3"/>
        <v>23.37848606</v>
      </c>
    </row>
    <row r="10">
      <c r="B10" s="82"/>
      <c r="C10" s="76">
        <v>2011.0</v>
      </c>
      <c r="D10" s="83">
        <f>Data!K23</f>
        <v>978</v>
      </c>
      <c r="E10" s="76">
        <v>251.0</v>
      </c>
      <c r="F10" s="85">
        <f t="shared" si="1"/>
        <v>3.896414343</v>
      </c>
      <c r="G10" s="84">
        <f>F10*Data!$C$7*Data!$C$8</f>
        <v>23.37848606</v>
      </c>
      <c r="H10" s="84">
        <f t="shared" si="3"/>
        <v>23.37848606</v>
      </c>
    </row>
    <row r="11">
      <c r="B11" s="82"/>
      <c r="C11" s="76">
        <v>2012.0</v>
      </c>
      <c r="D11" s="83">
        <f>Data!K22</f>
        <v>2234</v>
      </c>
      <c r="E11" s="76">
        <v>251.0</v>
      </c>
      <c r="F11" s="85">
        <f t="shared" si="1"/>
        <v>8.900398406</v>
      </c>
      <c r="G11" s="84">
        <f>F11*Data!$C$7*Data!$C$8</f>
        <v>53.40239044</v>
      </c>
      <c r="H11" s="84">
        <f t="shared" si="3"/>
        <v>23.37848606</v>
      </c>
    </row>
    <row r="12">
      <c r="B12" s="82"/>
      <c r="C12" s="76">
        <v>2013.0</v>
      </c>
      <c r="D12" s="83">
        <f>Data!K19</f>
        <v>639</v>
      </c>
      <c r="E12" s="76">
        <v>251.0</v>
      </c>
      <c r="F12" s="85">
        <f t="shared" si="1"/>
        <v>2.545816733</v>
      </c>
      <c r="G12" s="84">
        <f>F12*Data!$C$7*Data!$C$8</f>
        <v>15.2749004</v>
      </c>
      <c r="H12" s="84">
        <f t="shared" si="3"/>
        <v>23.37848606</v>
      </c>
    </row>
    <row r="13">
      <c r="B13" s="82"/>
      <c r="C13" s="76">
        <v>2014.0</v>
      </c>
      <c r="D13" s="76">
        <f>Data!K18</f>
        <v>798</v>
      </c>
      <c r="E13" s="76">
        <v>250.0</v>
      </c>
      <c r="F13" s="85">
        <f t="shared" si="1"/>
        <v>3.192</v>
      </c>
      <c r="G13" s="84">
        <f>F13*Data!$C$7*Data!$C$8</f>
        <v>19.152</v>
      </c>
      <c r="H13" s="84">
        <f t="shared" si="3"/>
        <v>23.37848606</v>
      </c>
    </row>
    <row r="14">
      <c r="B14" s="82"/>
      <c r="C14" s="76">
        <v>2015.0</v>
      </c>
      <c r="D14" s="76">
        <f>Data!K19</f>
        <v>639</v>
      </c>
      <c r="E14" s="76">
        <v>250.0</v>
      </c>
      <c r="F14" s="85">
        <f t="shared" si="1"/>
        <v>2.556</v>
      </c>
      <c r="G14" s="84">
        <f>F14*Data!$C$7*Data!$C$8</f>
        <v>15.336</v>
      </c>
      <c r="H14" s="84">
        <f t="shared" si="3"/>
        <v>23.37848606</v>
      </c>
    </row>
    <row r="15">
      <c r="B15" s="82"/>
      <c r="C15" s="76">
        <v>2016.0</v>
      </c>
      <c r="D15" s="76">
        <f>Data!K18</f>
        <v>798</v>
      </c>
      <c r="E15" s="76">
        <v>252.0</v>
      </c>
      <c r="F15" s="85">
        <f t="shared" si="1"/>
        <v>3.166666667</v>
      </c>
      <c r="G15" s="84">
        <f>F15*Data!$C$7*Data!$C$8</f>
        <v>19</v>
      </c>
      <c r="H15" s="84">
        <f t="shared" si="3"/>
        <v>23.37848606</v>
      </c>
    </row>
    <row r="16">
      <c r="B16" s="82"/>
      <c r="C16" s="76">
        <v>2017.0</v>
      </c>
      <c r="D16" s="76">
        <f>Data!K17</f>
        <v>607</v>
      </c>
      <c r="E16" s="76">
        <v>251.0</v>
      </c>
      <c r="F16" s="85">
        <f t="shared" si="1"/>
        <v>2.418326693</v>
      </c>
      <c r="G16" s="84">
        <f>F16*Data!$C$7*Data!$C$8</f>
        <v>14.50996016</v>
      </c>
      <c r="H16" s="84">
        <f t="shared" si="3"/>
        <v>23.37848606</v>
      </c>
    </row>
    <row r="17">
      <c r="B17" s="82"/>
      <c r="C17" s="76">
        <v>2018.0</v>
      </c>
      <c r="D17" s="76">
        <f>Data!K16</f>
        <v>1041</v>
      </c>
      <c r="E17" s="76">
        <v>251.0</v>
      </c>
      <c r="F17" s="85">
        <f t="shared" si="1"/>
        <v>4.147410359</v>
      </c>
      <c r="G17" s="84">
        <f>F17*Data!$C$7*Data!$C$8</f>
        <v>24.88446215</v>
      </c>
      <c r="H17" s="84">
        <f t="shared" si="3"/>
        <v>23.37848606</v>
      </c>
    </row>
    <row r="18">
      <c r="B18" s="82"/>
      <c r="C18" s="76">
        <v>2019.0</v>
      </c>
      <c r="D18" s="76">
        <f>Data!K15</f>
        <v>6807</v>
      </c>
      <c r="E18" s="76">
        <v>251.0</v>
      </c>
      <c r="F18" s="85">
        <f t="shared" si="1"/>
        <v>27.11952191</v>
      </c>
      <c r="G18" s="84">
        <f>F18*Data!$C$7*Data!$C$8</f>
        <v>162.7171315</v>
      </c>
      <c r="H18" s="84">
        <f t="shared" si="3"/>
        <v>23.37848606</v>
      </c>
    </row>
    <row r="19">
      <c r="B19" s="82"/>
      <c r="C19" s="76">
        <v>2020.0</v>
      </c>
      <c r="D19" s="76">
        <f>Data!K14</f>
        <v>12966</v>
      </c>
      <c r="E19" s="76">
        <v>250.0</v>
      </c>
      <c r="F19" s="85">
        <f t="shared" si="1"/>
        <v>51.864</v>
      </c>
      <c r="G19" s="84">
        <f>F19*Data!$C$7*Data!$C$8</f>
        <v>311.184</v>
      </c>
      <c r="H19" s="84">
        <f t="shared" si="3"/>
        <v>23.37848606</v>
      </c>
    </row>
    <row r="20">
      <c r="B20" s="82"/>
      <c r="C20" s="76">
        <v>2021.0</v>
      </c>
      <c r="D20" s="76">
        <f>Data!K13</f>
        <v>9838</v>
      </c>
      <c r="E20" s="76">
        <v>251.0</v>
      </c>
      <c r="F20" s="85">
        <f t="shared" si="1"/>
        <v>39.19521912</v>
      </c>
      <c r="G20" s="84">
        <f>F20*Data!$C$7*Data!$C$8</f>
        <v>235.1713147</v>
      </c>
      <c r="H20" s="84">
        <f t="shared" si="3"/>
        <v>23.37848606</v>
      </c>
    </row>
    <row r="21">
      <c r="B21" s="82"/>
      <c r="C21" s="76">
        <v>2022.0</v>
      </c>
      <c r="D21" s="76">
        <f>Data!K12</f>
        <v>9324</v>
      </c>
      <c r="E21" s="76">
        <v>251.0</v>
      </c>
      <c r="F21" s="85">
        <f t="shared" si="1"/>
        <v>37.14741036</v>
      </c>
      <c r="G21" s="84">
        <f>F21*Data!$C$7*Data!$C$8</f>
        <v>222.8844622</v>
      </c>
      <c r="H21" s="84">
        <f t="shared" si="3"/>
        <v>23.37848606</v>
      </c>
    </row>
    <row r="22">
      <c r="B22" s="86"/>
      <c r="C22" s="76" t="s">
        <v>117</v>
      </c>
      <c r="D22" s="76">
        <f>946+1105+1036+1003</f>
        <v>4090</v>
      </c>
      <c r="E22" s="76">
        <v>81.0</v>
      </c>
      <c r="F22" s="85">
        <f t="shared" si="1"/>
        <v>50.49382716</v>
      </c>
      <c r="G22" s="84">
        <f>F22*Data!$C$7*Data!$C$8</f>
        <v>302.962963</v>
      </c>
      <c r="H22" s="84">
        <f t="shared" si="3"/>
        <v>23.37848606</v>
      </c>
    </row>
    <row r="24">
      <c r="F24" s="58"/>
      <c r="G24" s="58"/>
    </row>
    <row r="25">
      <c r="F25" s="58"/>
      <c r="G25" s="58"/>
    </row>
    <row r="26">
      <c r="F26" s="58"/>
      <c r="G26" s="58"/>
    </row>
    <row r="27">
      <c r="F27" s="58"/>
      <c r="G27" s="58"/>
    </row>
    <row r="28">
      <c r="F28" s="58"/>
      <c r="G28" s="58"/>
    </row>
    <row r="29">
      <c r="F29" s="58"/>
      <c r="G29" s="58"/>
    </row>
    <row r="30">
      <c r="F30" s="58"/>
      <c r="G30" s="58"/>
    </row>
  </sheetData>
  <mergeCells count="1">
    <mergeCell ref="B5:B2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63"/>
    <col customWidth="1" min="3" max="3" width="24.13"/>
    <col customWidth="1" min="9" max="9" width="11.13"/>
    <col customWidth="1" min="14" max="14" width="14.13"/>
  </cols>
  <sheetData>
    <row r="1">
      <c r="B1" s="1" t="s">
        <v>118</v>
      </c>
    </row>
    <row r="4" ht="62.25" customHeight="1">
      <c r="C4" s="74" t="s">
        <v>48</v>
      </c>
      <c r="D4" s="74" t="s">
        <v>113</v>
      </c>
      <c r="E4" s="74" t="s">
        <v>119</v>
      </c>
      <c r="F4" s="74" t="s">
        <v>104</v>
      </c>
      <c r="G4" s="74" t="s">
        <v>120</v>
      </c>
      <c r="H4" s="74" t="s">
        <v>121</v>
      </c>
      <c r="I4" s="74" t="s">
        <v>122</v>
      </c>
      <c r="J4" s="74" t="s">
        <v>123</v>
      </c>
      <c r="K4" s="74" t="s">
        <v>124</v>
      </c>
      <c r="L4" s="74" t="s">
        <v>125</v>
      </c>
      <c r="M4" s="74" t="s">
        <v>126</v>
      </c>
      <c r="N4" s="87" t="s">
        <v>127</v>
      </c>
    </row>
    <row r="5" hidden="1">
      <c r="B5" s="75" t="s">
        <v>110</v>
      </c>
      <c r="C5" s="76">
        <v>2006.0</v>
      </c>
      <c r="D5" s="83">
        <f>Data!K28</f>
        <v>955</v>
      </c>
      <c r="E5" s="6">
        <f>Data!M28</f>
        <v>18476</v>
      </c>
      <c r="F5" s="76">
        <v>252.0</v>
      </c>
      <c r="G5" s="79">
        <f t="shared" ref="G5:G22" si="1">D5/F5</f>
        <v>3.78968254</v>
      </c>
      <c r="H5" s="84">
        <f>G5*Data!$C$7*Data!$C$8</f>
        <v>22.73809524</v>
      </c>
      <c r="I5" s="84">
        <f t="shared" ref="I5:I22" si="2">MEDIAN($H$5:$H$22)</f>
        <v>23.05829065</v>
      </c>
      <c r="J5" s="84">
        <f t="shared" ref="J5:J22" si="3">E5/F5</f>
        <v>73.31746032</v>
      </c>
      <c r="K5" s="84">
        <f>J5*Data!$C$7*Data!$C$8</f>
        <v>439.9047619</v>
      </c>
      <c r="L5" s="84">
        <f t="shared" ref="L5:L22" si="4">MEDIAN($K$5:$K$22)</f>
        <v>297.298067</v>
      </c>
      <c r="M5" s="62">
        <f t="shared" ref="M5:M22" si="5">H5+K5</f>
        <v>462.6428571</v>
      </c>
      <c r="N5" s="62">
        <f t="shared" ref="N5:N22" si="6">MEDIAN($M$8:$M$22)</f>
        <v>269.2111554</v>
      </c>
    </row>
    <row r="6" hidden="1">
      <c r="B6" s="82"/>
      <c r="C6" s="76">
        <v>2007.0</v>
      </c>
      <c r="D6" s="83">
        <f>Data!K27</f>
        <v>950</v>
      </c>
      <c r="E6" s="6">
        <f>Data!M27</f>
        <v>20058</v>
      </c>
      <c r="F6" s="76">
        <v>251.0</v>
      </c>
      <c r="G6" s="79">
        <f t="shared" si="1"/>
        <v>3.784860558</v>
      </c>
      <c r="H6" s="84">
        <f>G6*Data!$C$7*Data!$C$8</f>
        <v>22.70916335</v>
      </c>
      <c r="I6" s="84">
        <f t="shared" si="2"/>
        <v>23.05829065</v>
      </c>
      <c r="J6" s="84">
        <f t="shared" si="3"/>
        <v>79.9123506</v>
      </c>
      <c r="K6" s="84">
        <f>J6*Data!$C$7*Data!$C$8</f>
        <v>479.4741036</v>
      </c>
      <c r="L6" s="84">
        <f t="shared" si="4"/>
        <v>297.298067</v>
      </c>
      <c r="M6" s="62">
        <f t="shared" si="5"/>
        <v>502.1832669</v>
      </c>
      <c r="N6" s="62">
        <f t="shared" si="6"/>
        <v>269.2111554</v>
      </c>
    </row>
    <row r="7" hidden="1">
      <c r="B7" s="82"/>
      <c r="C7" s="76">
        <v>2008.0</v>
      </c>
      <c r="D7" s="83">
        <f>Data!K26</f>
        <v>1035</v>
      </c>
      <c r="E7" s="6">
        <f>Data!M26</f>
        <v>16770</v>
      </c>
      <c r="F7" s="76">
        <v>251.0</v>
      </c>
      <c r="G7" s="79">
        <f t="shared" si="1"/>
        <v>4.123505976</v>
      </c>
      <c r="H7" s="84">
        <f>G7*Data!$C$7*Data!$C$8</f>
        <v>24.74103586</v>
      </c>
      <c r="I7" s="84">
        <f t="shared" si="2"/>
        <v>23.05829065</v>
      </c>
      <c r="J7" s="84">
        <f t="shared" si="3"/>
        <v>66.812749</v>
      </c>
      <c r="K7" s="84">
        <f>J7*Data!$C$7*Data!$C$8</f>
        <v>400.876494</v>
      </c>
      <c r="L7" s="84">
        <f t="shared" si="4"/>
        <v>297.298067</v>
      </c>
      <c r="M7" s="62">
        <f t="shared" si="5"/>
        <v>425.6175299</v>
      </c>
      <c r="N7" s="62">
        <f t="shared" si="6"/>
        <v>269.2111554</v>
      </c>
    </row>
    <row r="8">
      <c r="B8" s="82"/>
      <c r="C8" s="76">
        <v>2009.0</v>
      </c>
      <c r="D8" s="62">
        <f>Data!K25</f>
        <v>392</v>
      </c>
      <c r="E8" s="6">
        <f>Data!M25</f>
        <v>9407</v>
      </c>
      <c r="F8" s="76">
        <v>251.0</v>
      </c>
      <c r="G8" s="79">
        <f t="shared" si="1"/>
        <v>1.561752988</v>
      </c>
      <c r="H8" s="84">
        <f>G8*Data!$C$7*Data!$C$8</f>
        <v>9.370517928</v>
      </c>
      <c r="I8" s="84">
        <f t="shared" si="2"/>
        <v>23.05829065</v>
      </c>
      <c r="J8" s="84">
        <f t="shared" si="3"/>
        <v>37.47808765</v>
      </c>
      <c r="K8" s="84">
        <f>J8*Data!$C$7*Data!$C$8</f>
        <v>224.8685259</v>
      </c>
      <c r="L8" s="84">
        <f t="shared" si="4"/>
        <v>297.298067</v>
      </c>
      <c r="M8" s="62">
        <f t="shared" si="5"/>
        <v>234.2390438</v>
      </c>
      <c r="N8" s="62">
        <f t="shared" si="6"/>
        <v>269.2111554</v>
      </c>
    </row>
    <row r="9">
      <c r="B9" s="82"/>
      <c r="C9" s="76">
        <v>2010.0</v>
      </c>
      <c r="D9" s="62">
        <f>Data!K24</f>
        <v>734</v>
      </c>
      <c r="E9" s="6">
        <f>Data!M24</f>
        <v>9290</v>
      </c>
      <c r="F9" s="76">
        <v>250.0</v>
      </c>
      <c r="G9" s="79">
        <f t="shared" si="1"/>
        <v>2.936</v>
      </c>
      <c r="H9" s="84">
        <f>G9*Data!$C$7*Data!$C$8</f>
        <v>17.616</v>
      </c>
      <c r="I9" s="84">
        <f t="shared" si="2"/>
        <v>23.05829065</v>
      </c>
      <c r="J9" s="84">
        <f t="shared" si="3"/>
        <v>37.16</v>
      </c>
      <c r="K9" s="84">
        <f>J9*Data!$C$7*Data!$C$8</f>
        <v>222.96</v>
      </c>
      <c r="L9" s="84">
        <f t="shared" si="4"/>
        <v>297.298067</v>
      </c>
      <c r="M9" s="62">
        <f t="shared" si="5"/>
        <v>240.576</v>
      </c>
      <c r="N9" s="62">
        <f t="shared" si="6"/>
        <v>269.2111554</v>
      </c>
    </row>
    <row r="10">
      <c r="B10" s="82"/>
      <c r="C10" s="76">
        <v>2011.0</v>
      </c>
      <c r="D10" s="62">
        <f>Data!K23</f>
        <v>978</v>
      </c>
      <c r="E10" s="6">
        <f>Data!M23</f>
        <v>9338</v>
      </c>
      <c r="F10" s="76">
        <v>251.0</v>
      </c>
      <c r="G10" s="79">
        <f t="shared" si="1"/>
        <v>3.896414343</v>
      </c>
      <c r="H10" s="84">
        <f>G10*Data!$C$7*Data!$C$8</f>
        <v>23.37848606</v>
      </c>
      <c r="I10" s="84">
        <f t="shared" si="2"/>
        <v>23.05829065</v>
      </c>
      <c r="J10" s="84">
        <f t="shared" si="3"/>
        <v>37.20318725</v>
      </c>
      <c r="K10" s="84">
        <f>J10*Data!$C$7*Data!$C$8</f>
        <v>223.2191235</v>
      </c>
      <c r="L10" s="84">
        <f t="shared" si="4"/>
        <v>297.298067</v>
      </c>
      <c r="M10" s="62">
        <f t="shared" si="5"/>
        <v>246.5976096</v>
      </c>
      <c r="N10" s="62">
        <f t="shared" si="6"/>
        <v>269.2111554</v>
      </c>
    </row>
    <row r="11">
      <c r="B11" s="82"/>
      <c r="C11" s="76">
        <v>2012.0</v>
      </c>
      <c r="D11" s="62">
        <f>Data!K22</f>
        <v>2234</v>
      </c>
      <c r="E11" s="6">
        <f>Data!M22</f>
        <v>9028</v>
      </c>
      <c r="F11" s="76">
        <v>251.0</v>
      </c>
      <c r="G11" s="79">
        <f t="shared" si="1"/>
        <v>8.900398406</v>
      </c>
      <c r="H11" s="84">
        <f>G11*Data!$C$7*Data!$C$8</f>
        <v>53.40239044</v>
      </c>
      <c r="I11" s="84">
        <f t="shared" si="2"/>
        <v>23.05829065</v>
      </c>
      <c r="J11" s="84">
        <f t="shared" si="3"/>
        <v>35.96812749</v>
      </c>
      <c r="K11" s="84">
        <f>J11*Data!$C$7*Data!$C$8</f>
        <v>215.8087649</v>
      </c>
      <c r="L11" s="84">
        <f t="shared" si="4"/>
        <v>297.298067</v>
      </c>
      <c r="M11" s="62">
        <f t="shared" si="5"/>
        <v>269.2111554</v>
      </c>
      <c r="N11" s="62">
        <f t="shared" si="6"/>
        <v>269.2111554</v>
      </c>
    </row>
    <row r="12">
      <c r="B12" s="82"/>
      <c r="C12" s="76">
        <v>2013.0</v>
      </c>
      <c r="D12" s="62">
        <f>Data!K19</f>
        <v>639</v>
      </c>
      <c r="E12" s="6">
        <f>Data!M21</f>
        <v>8808</v>
      </c>
      <c r="F12" s="76">
        <v>251.0</v>
      </c>
      <c r="G12" s="79">
        <f t="shared" si="1"/>
        <v>2.545816733</v>
      </c>
      <c r="H12" s="84">
        <f>G12*Data!$C$7*Data!$C$8</f>
        <v>15.2749004</v>
      </c>
      <c r="I12" s="84">
        <f t="shared" si="2"/>
        <v>23.05829065</v>
      </c>
      <c r="J12" s="84">
        <f t="shared" si="3"/>
        <v>35.09163347</v>
      </c>
      <c r="K12" s="84">
        <f>J12*Data!$C$7*Data!$C$8</f>
        <v>210.5498008</v>
      </c>
      <c r="L12" s="84">
        <f t="shared" si="4"/>
        <v>297.298067</v>
      </c>
      <c r="M12" s="62">
        <f t="shared" si="5"/>
        <v>225.8247012</v>
      </c>
      <c r="N12" s="62">
        <f t="shared" si="6"/>
        <v>269.2111554</v>
      </c>
    </row>
    <row r="13">
      <c r="B13" s="82"/>
      <c r="C13" s="76">
        <v>2014.0</v>
      </c>
      <c r="D13" s="6">
        <f>Data!K18</f>
        <v>798</v>
      </c>
      <c r="E13" s="6">
        <f>Data!M20</f>
        <v>8438</v>
      </c>
      <c r="F13" s="76">
        <v>250.0</v>
      </c>
      <c r="G13" s="79">
        <f t="shared" si="1"/>
        <v>3.192</v>
      </c>
      <c r="H13" s="84">
        <f>G13*Data!$C$7*Data!$C$8</f>
        <v>19.152</v>
      </c>
      <c r="I13" s="84">
        <f t="shared" si="2"/>
        <v>23.05829065</v>
      </c>
      <c r="J13" s="84">
        <f t="shared" si="3"/>
        <v>33.752</v>
      </c>
      <c r="K13" s="84">
        <f>J13*Data!$C$7*Data!$C$8</f>
        <v>202.512</v>
      </c>
      <c r="L13" s="84">
        <f t="shared" si="4"/>
        <v>297.298067</v>
      </c>
      <c r="M13" s="62">
        <f t="shared" si="5"/>
        <v>221.664</v>
      </c>
      <c r="N13" s="62">
        <f t="shared" si="6"/>
        <v>269.2111554</v>
      </c>
    </row>
    <row r="14">
      <c r="B14" s="82"/>
      <c r="C14" s="76">
        <v>2015.0</v>
      </c>
      <c r="D14" s="6">
        <f>Data!K19</f>
        <v>639</v>
      </c>
      <c r="E14" s="6">
        <f>Data!M19</f>
        <v>8090</v>
      </c>
      <c r="F14" s="76">
        <v>250.0</v>
      </c>
      <c r="G14" s="79">
        <f t="shared" si="1"/>
        <v>2.556</v>
      </c>
      <c r="H14" s="84">
        <f>G14*Data!$C$7*Data!$C$8</f>
        <v>15.336</v>
      </c>
      <c r="I14" s="84">
        <f t="shared" si="2"/>
        <v>23.05829065</v>
      </c>
      <c r="J14" s="84">
        <f t="shared" si="3"/>
        <v>32.36</v>
      </c>
      <c r="K14" s="84">
        <f>J14*Data!$C$7*Data!$C$8</f>
        <v>194.16</v>
      </c>
      <c r="L14" s="84">
        <f t="shared" si="4"/>
        <v>297.298067</v>
      </c>
      <c r="M14" s="62">
        <f t="shared" si="5"/>
        <v>209.496</v>
      </c>
      <c r="N14" s="62">
        <f t="shared" si="6"/>
        <v>269.2111554</v>
      </c>
    </row>
    <row r="15">
      <c r="B15" s="82"/>
      <c r="C15" s="76">
        <v>2016.0</v>
      </c>
      <c r="D15" s="6">
        <f>Data!K18</f>
        <v>798</v>
      </c>
      <c r="E15" s="6">
        <f>Data!M18</f>
        <v>10507</v>
      </c>
      <c r="F15" s="76">
        <v>252.0</v>
      </c>
      <c r="G15" s="79">
        <f t="shared" si="1"/>
        <v>3.166666667</v>
      </c>
      <c r="H15" s="84">
        <f>G15*Data!$C$7*Data!$C$8</f>
        <v>19</v>
      </c>
      <c r="I15" s="84">
        <f t="shared" si="2"/>
        <v>23.05829065</v>
      </c>
      <c r="J15" s="84">
        <f t="shared" si="3"/>
        <v>41.69444444</v>
      </c>
      <c r="K15" s="84">
        <f>J15*Data!$C$7*Data!$C$8</f>
        <v>250.1666667</v>
      </c>
      <c r="L15" s="84">
        <f t="shared" si="4"/>
        <v>297.298067</v>
      </c>
      <c r="M15" s="62">
        <f t="shared" si="5"/>
        <v>269.1666667</v>
      </c>
      <c r="N15" s="62">
        <f t="shared" si="6"/>
        <v>269.2111554</v>
      </c>
    </row>
    <row r="16">
      <c r="B16" s="82"/>
      <c r="C16" s="76">
        <v>2017.0</v>
      </c>
      <c r="D16" s="6">
        <f>Data!K17</f>
        <v>607</v>
      </c>
      <c r="E16" s="6">
        <f>Data!M17</f>
        <v>13723</v>
      </c>
      <c r="F16" s="76">
        <v>251.0</v>
      </c>
      <c r="G16" s="79">
        <f t="shared" si="1"/>
        <v>2.418326693</v>
      </c>
      <c r="H16" s="84">
        <f>G16*Data!$C$7*Data!$C$8</f>
        <v>14.50996016</v>
      </c>
      <c r="I16" s="84">
        <f t="shared" si="2"/>
        <v>23.05829065</v>
      </c>
      <c r="J16" s="84">
        <f t="shared" si="3"/>
        <v>54.67330677</v>
      </c>
      <c r="K16" s="84">
        <f>J16*Data!$C$7*Data!$C$8</f>
        <v>328.0398406</v>
      </c>
      <c r="L16" s="84">
        <f t="shared" si="4"/>
        <v>297.298067</v>
      </c>
      <c r="M16" s="62">
        <f t="shared" si="5"/>
        <v>342.5498008</v>
      </c>
      <c r="N16" s="62">
        <f t="shared" si="6"/>
        <v>269.2111554</v>
      </c>
    </row>
    <row r="17">
      <c r="B17" s="82"/>
      <c r="C17" s="76">
        <v>2018.0</v>
      </c>
      <c r="D17" s="6">
        <f>Data!K16</f>
        <v>1041</v>
      </c>
      <c r="E17" s="6">
        <f>Data!M16</f>
        <v>13516</v>
      </c>
      <c r="F17" s="76">
        <v>251.0</v>
      </c>
      <c r="G17" s="79">
        <f t="shared" si="1"/>
        <v>4.147410359</v>
      </c>
      <c r="H17" s="84">
        <f>G17*Data!$C$7*Data!$C$8</f>
        <v>24.88446215</v>
      </c>
      <c r="I17" s="84">
        <f t="shared" si="2"/>
        <v>23.05829065</v>
      </c>
      <c r="J17" s="84">
        <f t="shared" si="3"/>
        <v>53.84860558</v>
      </c>
      <c r="K17" s="84">
        <f>J17*Data!$C$7*Data!$C$8</f>
        <v>323.0916335</v>
      </c>
      <c r="L17" s="84">
        <f t="shared" si="4"/>
        <v>297.298067</v>
      </c>
      <c r="M17" s="62">
        <f t="shared" si="5"/>
        <v>347.9760956</v>
      </c>
      <c r="N17" s="62">
        <f t="shared" si="6"/>
        <v>269.2111554</v>
      </c>
    </row>
    <row r="18">
      <c r="B18" s="82"/>
      <c r="C18" s="76">
        <v>2019.0</v>
      </c>
      <c r="D18" s="6">
        <f>Data!K15</f>
        <v>6807</v>
      </c>
      <c r="E18" s="6">
        <f>Data!M15</f>
        <v>12671</v>
      </c>
      <c r="F18" s="76">
        <v>251.0</v>
      </c>
      <c r="G18" s="79">
        <f t="shared" si="1"/>
        <v>27.11952191</v>
      </c>
      <c r="H18" s="84">
        <f>G18*Data!$C$7*Data!$C$8</f>
        <v>162.7171315</v>
      </c>
      <c r="I18" s="84">
        <f t="shared" si="2"/>
        <v>23.05829065</v>
      </c>
      <c r="J18" s="84">
        <f t="shared" si="3"/>
        <v>50.48207171</v>
      </c>
      <c r="K18" s="84">
        <f>J18*Data!$C$7*Data!$C$8</f>
        <v>302.8924303</v>
      </c>
      <c r="L18" s="84">
        <f t="shared" si="4"/>
        <v>297.298067</v>
      </c>
      <c r="M18" s="62">
        <f t="shared" si="5"/>
        <v>465.6095618</v>
      </c>
      <c r="N18" s="62">
        <f t="shared" si="6"/>
        <v>269.2111554</v>
      </c>
    </row>
    <row r="19">
      <c r="B19" s="82"/>
      <c r="C19" s="76">
        <v>2020.0</v>
      </c>
      <c r="D19" s="6">
        <f>Data!K14</f>
        <v>12966</v>
      </c>
      <c r="E19" s="6">
        <f>Data!M14</f>
        <v>15515</v>
      </c>
      <c r="F19" s="76">
        <v>250.0</v>
      </c>
      <c r="G19" s="79">
        <f t="shared" si="1"/>
        <v>51.864</v>
      </c>
      <c r="H19" s="84">
        <f>G19*Data!$C$7*Data!$C$8</f>
        <v>311.184</v>
      </c>
      <c r="I19" s="84">
        <f t="shared" si="2"/>
        <v>23.05829065</v>
      </c>
      <c r="J19" s="84">
        <f t="shared" si="3"/>
        <v>62.06</v>
      </c>
      <c r="K19" s="84">
        <f>J19*Data!$C$7*Data!$C$8</f>
        <v>372.36</v>
      </c>
      <c r="L19" s="84">
        <f t="shared" si="4"/>
        <v>297.298067</v>
      </c>
      <c r="M19" s="62">
        <f t="shared" si="5"/>
        <v>683.544</v>
      </c>
      <c r="N19" s="62">
        <f t="shared" si="6"/>
        <v>269.2111554</v>
      </c>
    </row>
    <row r="20">
      <c r="B20" s="82"/>
      <c r="C20" s="76">
        <v>2021.0</v>
      </c>
      <c r="D20" s="6">
        <f>Data!K13</f>
        <v>9838</v>
      </c>
      <c r="E20" s="6">
        <f>Data!M13</f>
        <v>13439</v>
      </c>
      <c r="F20" s="76">
        <v>251.0</v>
      </c>
      <c r="G20" s="79">
        <f t="shared" si="1"/>
        <v>39.19521912</v>
      </c>
      <c r="H20" s="84">
        <f>G20*Data!$C$7*Data!$C$8</f>
        <v>235.1713147</v>
      </c>
      <c r="I20" s="84">
        <f t="shared" si="2"/>
        <v>23.05829065</v>
      </c>
      <c r="J20" s="84">
        <f t="shared" si="3"/>
        <v>53.54183267</v>
      </c>
      <c r="K20" s="84">
        <f>J20*Data!$C$7*Data!$C$8</f>
        <v>321.250996</v>
      </c>
      <c r="L20" s="84">
        <f t="shared" si="4"/>
        <v>297.298067</v>
      </c>
      <c r="M20" s="62">
        <f t="shared" si="5"/>
        <v>556.4223108</v>
      </c>
      <c r="N20" s="62">
        <f t="shared" si="6"/>
        <v>269.2111554</v>
      </c>
    </row>
    <row r="21">
      <c r="B21" s="82"/>
      <c r="C21" s="76">
        <v>2022.0</v>
      </c>
      <c r="D21" s="6">
        <f>Data!K12</f>
        <v>9324</v>
      </c>
      <c r="E21" s="6">
        <f>Data!M12</f>
        <v>15336</v>
      </c>
      <c r="F21" s="76">
        <v>251.0</v>
      </c>
      <c r="G21" s="79">
        <f t="shared" si="1"/>
        <v>37.14741036</v>
      </c>
      <c r="H21" s="84">
        <f>G21*Data!$C$7*Data!$C$8</f>
        <v>222.8844622</v>
      </c>
      <c r="I21" s="84">
        <f t="shared" si="2"/>
        <v>23.05829065</v>
      </c>
      <c r="J21" s="84">
        <f t="shared" si="3"/>
        <v>61.09960159</v>
      </c>
      <c r="K21" s="84">
        <f>J21*Data!$C$7*Data!$C$8</f>
        <v>366.5976096</v>
      </c>
      <c r="L21" s="84">
        <f t="shared" si="4"/>
        <v>297.298067</v>
      </c>
      <c r="M21" s="62">
        <f t="shared" si="5"/>
        <v>589.4820717</v>
      </c>
      <c r="N21" s="62">
        <f t="shared" si="6"/>
        <v>269.2111554</v>
      </c>
    </row>
    <row r="22">
      <c r="B22" s="86"/>
      <c r="C22" s="76" t="s">
        <v>117</v>
      </c>
      <c r="D22" s="6">
        <f>946+1105+1036+1003</f>
        <v>4090</v>
      </c>
      <c r="E22" s="6">
        <f>702+900+1053+1283</f>
        <v>3938</v>
      </c>
      <c r="F22" s="76">
        <v>81.0</v>
      </c>
      <c r="G22" s="79">
        <f t="shared" si="1"/>
        <v>50.49382716</v>
      </c>
      <c r="H22" s="84">
        <f>G22*Data!$C$7*Data!$C$8</f>
        <v>302.962963</v>
      </c>
      <c r="I22" s="84">
        <f t="shared" si="2"/>
        <v>23.05829065</v>
      </c>
      <c r="J22" s="84">
        <f t="shared" si="3"/>
        <v>48.61728395</v>
      </c>
      <c r="K22" s="84">
        <f>J22*Data!$C$7*Data!$C$8</f>
        <v>291.7037037</v>
      </c>
      <c r="L22" s="84">
        <f t="shared" si="4"/>
        <v>297.298067</v>
      </c>
      <c r="M22" s="62">
        <f t="shared" si="5"/>
        <v>594.6666667</v>
      </c>
      <c r="N22" s="62">
        <f t="shared" si="6"/>
        <v>269.2111554</v>
      </c>
    </row>
    <row r="24">
      <c r="G24" s="58"/>
      <c r="H24" s="58"/>
      <c r="J24" s="58"/>
    </row>
    <row r="25">
      <c r="G25" s="58"/>
      <c r="H25" s="58"/>
      <c r="J25" s="58"/>
    </row>
    <row r="26">
      <c r="G26" s="58"/>
      <c r="H26" s="58"/>
      <c r="J26" s="58"/>
    </row>
    <row r="27">
      <c r="G27" s="58"/>
      <c r="H27" s="58"/>
      <c r="J27" s="58"/>
    </row>
    <row r="28">
      <c r="G28" s="58"/>
      <c r="H28" s="58"/>
      <c r="J28" s="58"/>
    </row>
    <row r="29">
      <c r="G29" s="58"/>
      <c r="H29" s="58"/>
      <c r="J29" s="58"/>
    </row>
    <row r="30">
      <c r="G30" s="58"/>
      <c r="H30" s="58"/>
      <c r="J30" s="58"/>
    </row>
  </sheetData>
  <mergeCells count="1">
    <mergeCell ref="B5:B2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25"/>
    <col customWidth="1" min="2" max="2" width="7.88"/>
    <col customWidth="1" min="3" max="3" width="25.0"/>
    <col customWidth="1" min="4" max="4" width="20.63"/>
    <col customWidth="1" min="5" max="5" width="16.13"/>
    <col customWidth="1" min="6" max="6" width="32.0"/>
    <col customWidth="1" min="7" max="11" width="29.25"/>
  </cols>
  <sheetData>
    <row r="1">
      <c r="A1" s="88"/>
      <c r="B1" s="89"/>
      <c r="C1" s="89"/>
      <c r="D1" s="89"/>
      <c r="E1" s="88"/>
      <c r="F1" s="88"/>
      <c r="G1" s="89"/>
      <c r="H1" s="89"/>
      <c r="I1" s="89"/>
      <c r="J1" s="89"/>
      <c r="K1" s="89"/>
    </row>
    <row r="2">
      <c r="A2" s="90"/>
      <c r="B2" s="61" t="s">
        <v>48</v>
      </c>
      <c r="C2" s="61" t="s">
        <v>128</v>
      </c>
      <c r="D2" s="61" t="s">
        <v>129</v>
      </c>
      <c r="E2" s="88"/>
      <c r="F2" s="91"/>
      <c r="G2" s="61" t="s">
        <v>48</v>
      </c>
      <c r="H2" s="61" t="s">
        <v>128</v>
      </c>
      <c r="I2" s="61" t="s">
        <v>129</v>
      </c>
      <c r="J2" s="61" t="s">
        <v>130</v>
      </c>
      <c r="K2" s="61" t="s">
        <v>131</v>
      </c>
    </row>
    <row r="3">
      <c r="A3" s="92" t="s">
        <v>132</v>
      </c>
      <c r="B3" s="93">
        <v>2006.0</v>
      </c>
      <c r="C3" s="6">
        <v>734456.0</v>
      </c>
      <c r="D3" s="6">
        <v>466173.0</v>
      </c>
      <c r="E3" s="94"/>
      <c r="F3" s="92" t="s">
        <v>132</v>
      </c>
      <c r="G3" s="93">
        <v>2006.0</v>
      </c>
      <c r="H3" s="6">
        <v>734456.0</v>
      </c>
      <c r="I3" s="6">
        <v>466173.0</v>
      </c>
      <c r="J3" s="95"/>
      <c r="K3" s="95"/>
    </row>
    <row r="4">
      <c r="A4" s="82"/>
      <c r="B4" s="93">
        <v>2005.0</v>
      </c>
      <c r="C4" s="6">
        <v>739260.0</v>
      </c>
      <c r="D4" s="6">
        <v>440384.0</v>
      </c>
      <c r="E4" s="94"/>
      <c r="F4" s="82"/>
      <c r="G4" s="93">
        <v>2005.0</v>
      </c>
      <c r="H4" s="6">
        <v>739260.0</v>
      </c>
      <c r="I4" s="6">
        <v>440384.0</v>
      </c>
      <c r="J4" s="95"/>
      <c r="K4" s="95"/>
    </row>
    <row r="5">
      <c r="A5" s="82"/>
      <c r="B5" s="96">
        <f t="shared" ref="B5:B11" si="1">B4-1</f>
        <v>2004</v>
      </c>
      <c r="C5" s="6">
        <v>791866.0</v>
      </c>
      <c r="D5" s="6">
        <v>472053.0</v>
      </c>
      <c r="E5" s="94"/>
      <c r="F5" s="82"/>
      <c r="G5" s="96">
        <f t="shared" ref="G5:G11" si="2">G4-1</f>
        <v>2004</v>
      </c>
      <c r="H5" s="6">
        <v>791866.0</v>
      </c>
      <c r="I5" s="6">
        <v>472053.0</v>
      </c>
      <c r="J5" s="95"/>
      <c r="K5" s="95"/>
    </row>
    <row r="6">
      <c r="A6" s="82"/>
      <c r="B6" s="96">
        <f t="shared" si="1"/>
        <v>2003</v>
      </c>
      <c r="C6" s="6">
        <v>830428.0</v>
      </c>
      <c r="D6" s="6">
        <v>512251.0</v>
      </c>
      <c r="E6" s="94"/>
      <c r="F6" s="82"/>
      <c r="G6" s="96">
        <f t="shared" si="2"/>
        <v>2003</v>
      </c>
      <c r="H6" s="6">
        <v>830428.0</v>
      </c>
      <c r="I6" s="6">
        <v>512251.0</v>
      </c>
      <c r="J6" s="95"/>
      <c r="K6" s="95"/>
    </row>
    <row r="7">
      <c r="A7" s="82"/>
      <c r="B7" s="96">
        <f t="shared" si="1"/>
        <v>2002</v>
      </c>
      <c r="C7" s="6">
        <v>736289.0</v>
      </c>
      <c r="D7" s="6">
        <v>472945.0</v>
      </c>
      <c r="E7" s="94"/>
      <c r="F7" s="82"/>
      <c r="G7" s="96">
        <f t="shared" si="2"/>
        <v>2002</v>
      </c>
      <c r="H7" s="6">
        <v>736289.0</v>
      </c>
      <c r="I7" s="6">
        <v>472945.0</v>
      </c>
      <c r="J7" s="95"/>
      <c r="K7" s="95"/>
    </row>
    <row r="8">
      <c r="A8" s="82"/>
      <c r="B8" s="96">
        <f t="shared" si="1"/>
        <v>2001</v>
      </c>
      <c r="C8" s="6">
        <v>760801.0</v>
      </c>
      <c r="D8" s="6">
        <v>494460.0</v>
      </c>
      <c r="E8" s="94"/>
      <c r="F8" s="82"/>
      <c r="G8" s="96">
        <f t="shared" si="2"/>
        <v>2001</v>
      </c>
      <c r="H8" s="6">
        <v>760801.0</v>
      </c>
      <c r="I8" s="6">
        <v>494460.0</v>
      </c>
      <c r="J8" s="95"/>
      <c r="K8" s="95"/>
    </row>
    <row r="9">
      <c r="A9" s="82"/>
      <c r="B9" s="96">
        <f t="shared" si="1"/>
        <v>2000</v>
      </c>
      <c r="C9" s="6">
        <v>846129.0</v>
      </c>
      <c r="D9" s="6">
        <v>539992.0</v>
      </c>
      <c r="E9" s="94"/>
      <c r="F9" s="82"/>
      <c r="G9" s="96">
        <f t="shared" si="2"/>
        <v>2000</v>
      </c>
      <c r="H9" s="6">
        <v>846129.0</v>
      </c>
      <c r="I9" s="6">
        <v>539992.0</v>
      </c>
      <c r="J9" s="95"/>
      <c r="K9" s="95"/>
    </row>
    <row r="10">
      <c r="A10" s="82"/>
      <c r="B10" s="96">
        <f t="shared" si="1"/>
        <v>1999</v>
      </c>
      <c r="C10" s="6">
        <v>845049.0</v>
      </c>
      <c r="D10" s="6">
        <v>500031.0</v>
      </c>
      <c r="E10" s="94"/>
      <c r="F10" s="82"/>
      <c r="G10" s="96">
        <f t="shared" si="2"/>
        <v>1999</v>
      </c>
      <c r="H10" s="6">
        <v>845049.0</v>
      </c>
      <c r="I10" s="6">
        <v>500031.0</v>
      </c>
      <c r="J10" s="95"/>
      <c r="K10" s="95"/>
    </row>
    <row r="11">
      <c r="A11" s="82"/>
      <c r="B11" s="96">
        <f t="shared" si="1"/>
        <v>1998</v>
      </c>
      <c r="C11" s="6">
        <v>826631.0</v>
      </c>
      <c r="D11" s="6">
        <v>503192.0</v>
      </c>
      <c r="E11" s="94"/>
      <c r="F11" s="82"/>
      <c r="G11" s="96">
        <f t="shared" si="2"/>
        <v>1998</v>
      </c>
      <c r="H11" s="6">
        <v>826631.0</v>
      </c>
      <c r="I11" s="6">
        <v>503192.0</v>
      </c>
      <c r="J11" s="95"/>
      <c r="K11" s="95"/>
    </row>
    <row r="12">
      <c r="A12" s="82"/>
      <c r="B12" s="93">
        <v>1996.0</v>
      </c>
      <c r="C12" s="6">
        <v>754404.0</v>
      </c>
      <c r="D12" s="97">
        <v>430272.0</v>
      </c>
      <c r="E12" s="98"/>
      <c r="F12" s="86"/>
      <c r="G12" s="93">
        <v>1996.0</v>
      </c>
      <c r="H12" s="6">
        <v>754404.0</v>
      </c>
      <c r="I12" s="97">
        <v>430272.0</v>
      </c>
      <c r="J12" s="95"/>
      <c r="K12" s="95"/>
    </row>
    <row r="13">
      <c r="A13" s="82"/>
      <c r="B13" s="93">
        <v>1989.0</v>
      </c>
      <c r="C13" s="6">
        <v>624874.0</v>
      </c>
      <c r="D13" s="6">
        <v>385921.0</v>
      </c>
      <c r="E13" s="94"/>
      <c r="F13" s="99" t="s">
        <v>133</v>
      </c>
      <c r="G13" s="93">
        <v>1994.0</v>
      </c>
      <c r="H13" s="6">
        <v>419229.0</v>
      </c>
      <c r="I13" s="95">
        <f t="shared" ref="I13:I14" si="3">0.518*H13+68887</f>
        <v>286047.622</v>
      </c>
      <c r="J13" s="95">
        <f t="shared" ref="J13:J14" si="4">0.0815*I13-3433</f>
        <v>19879.88119</v>
      </c>
      <c r="K13" s="95">
        <f t="shared" ref="K13:K14" si="5">J13/250*6</f>
        <v>477.1171486</v>
      </c>
    </row>
    <row r="14">
      <c r="A14" s="82"/>
      <c r="B14" s="93">
        <v>1987.0</v>
      </c>
      <c r="C14" s="6">
        <v>493292.0</v>
      </c>
      <c r="D14" s="6">
        <v>352161.0</v>
      </c>
      <c r="E14" s="94"/>
      <c r="F14" s="86"/>
      <c r="G14" s="93">
        <v>1993.0</v>
      </c>
      <c r="H14" s="6">
        <v>416229.0</v>
      </c>
      <c r="I14" s="95">
        <f t="shared" si="3"/>
        <v>284493.622</v>
      </c>
      <c r="J14" s="95">
        <f t="shared" si="4"/>
        <v>19753.23019</v>
      </c>
      <c r="K14" s="95">
        <f t="shared" si="5"/>
        <v>474.0775246</v>
      </c>
    </row>
    <row r="15">
      <c r="A15" s="82"/>
      <c r="B15" s="93">
        <v>1986.0</v>
      </c>
      <c r="C15" s="6">
        <v>624573.0</v>
      </c>
      <c r="D15" s="6">
        <v>375197.0</v>
      </c>
      <c r="E15" s="94"/>
      <c r="F15" s="92" t="s">
        <v>132</v>
      </c>
      <c r="G15" s="93">
        <v>1989.0</v>
      </c>
      <c r="H15" s="6">
        <v>624874.0</v>
      </c>
      <c r="I15" s="6">
        <v>385921.0</v>
      </c>
      <c r="J15" s="95"/>
      <c r="K15" s="95"/>
    </row>
    <row r="16">
      <c r="A16" s="82"/>
      <c r="B16" s="93">
        <v>1985.0</v>
      </c>
      <c r="C16" s="6">
        <v>784705.0</v>
      </c>
      <c r="D16" s="6">
        <v>444804.0</v>
      </c>
      <c r="E16" s="94"/>
      <c r="F16" s="82"/>
      <c r="G16" s="93">
        <v>1987.0</v>
      </c>
      <c r="H16" s="6">
        <v>493292.0</v>
      </c>
      <c r="I16" s="6">
        <v>352161.0</v>
      </c>
      <c r="J16" s="95"/>
      <c r="K16" s="95"/>
    </row>
    <row r="17">
      <c r="A17" s="86"/>
      <c r="B17" s="93">
        <v>1984.0</v>
      </c>
      <c r="C17" s="6">
        <v>712760.0</v>
      </c>
      <c r="D17" s="6">
        <v>393478.0</v>
      </c>
      <c r="E17" s="94"/>
      <c r="F17" s="82"/>
      <c r="G17" s="93">
        <v>1986.0</v>
      </c>
      <c r="H17" s="6">
        <v>624573.0</v>
      </c>
      <c r="I17" s="6">
        <v>375197.0</v>
      </c>
      <c r="J17" s="95"/>
      <c r="K17" s="95"/>
    </row>
    <row r="18">
      <c r="E18" s="94"/>
      <c r="F18" s="82"/>
      <c r="G18" s="93">
        <v>1985.0</v>
      </c>
      <c r="H18" s="6">
        <v>784705.0</v>
      </c>
      <c r="I18" s="6">
        <v>444804.0</v>
      </c>
      <c r="J18" s="95"/>
      <c r="K18" s="95"/>
    </row>
    <row r="19">
      <c r="E19" s="94"/>
      <c r="F19" s="86"/>
      <c r="G19" s="93">
        <v>1984.0</v>
      </c>
      <c r="H19" s="6">
        <v>712760.0</v>
      </c>
      <c r="I19" s="6">
        <v>393478.0</v>
      </c>
      <c r="J19" s="95"/>
      <c r="K19" s="95"/>
    </row>
    <row r="20">
      <c r="A20" s="1"/>
      <c r="B20" s="1"/>
      <c r="C20" s="57"/>
    </row>
    <row r="21">
      <c r="A21" s="1"/>
      <c r="B21" s="1"/>
      <c r="C21" s="57"/>
    </row>
    <row r="22">
      <c r="A22" s="1" t="s">
        <v>134</v>
      </c>
    </row>
    <row r="23">
      <c r="A23" s="100" t="s">
        <v>48</v>
      </c>
      <c r="B23" s="100" t="s">
        <v>135</v>
      </c>
      <c r="C23" s="100" t="s">
        <v>136</v>
      </c>
    </row>
    <row r="24">
      <c r="A24" s="5">
        <v>2019.0</v>
      </c>
      <c r="B24" s="101">
        <v>279546.0</v>
      </c>
      <c r="C24" s="101">
        <v>19478.0</v>
      </c>
    </row>
    <row r="25">
      <c r="A25" s="5">
        <v>2020.0</v>
      </c>
      <c r="B25" s="101">
        <v>388572.0</v>
      </c>
      <c r="C25" s="101">
        <v>28481.0</v>
      </c>
    </row>
    <row r="26">
      <c r="A26" s="5">
        <v>2021.0</v>
      </c>
      <c r="B26" s="101">
        <v>341316.0</v>
      </c>
      <c r="C26" s="101">
        <v>23277.0</v>
      </c>
    </row>
    <row r="27">
      <c r="A27" s="5">
        <v>2022.0</v>
      </c>
      <c r="B27" s="101">
        <v>336085.0</v>
      </c>
      <c r="C27" s="101">
        <v>24660.0</v>
      </c>
    </row>
    <row r="28">
      <c r="A28" s="102"/>
      <c r="B28" s="102"/>
      <c r="C28" s="102"/>
    </row>
  </sheetData>
  <mergeCells count="4">
    <mergeCell ref="A3:A17"/>
    <mergeCell ref="F3:F12"/>
    <mergeCell ref="F13:F14"/>
    <mergeCell ref="F15:F19"/>
  </mergeCells>
  <printOptions gridLines="1" horizontalCentered="1"/>
  <pageMargins bottom="0.75" footer="0.0" header="0.0" left="0.7" right="0.7" top="0.75"/>
  <pageSetup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33.63"/>
    <col customWidth="1" min="3" max="3" width="24.13"/>
  </cols>
  <sheetData>
    <row r="1">
      <c r="B1" s="1" t="s">
        <v>112</v>
      </c>
    </row>
    <row r="4" ht="62.25" customHeight="1">
      <c r="C4" s="74" t="s">
        <v>48</v>
      </c>
      <c r="D4" s="74" t="s">
        <v>113</v>
      </c>
      <c r="E4" s="74" t="s">
        <v>119</v>
      </c>
      <c r="F4" s="74" t="s">
        <v>137</v>
      </c>
      <c r="G4" s="74" t="s">
        <v>120</v>
      </c>
      <c r="H4" s="74" t="s">
        <v>121</v>
      </c>
      <c r="I4" s="74" t="s">
        <v>123</v>
      </c>
      <c r="J4" s="74" t="s">
        <v>124</v>
      </c>
      <c r="K4" s="103" t="s">
        <v>126</v>
      </c>
    </row>
    <row r="5" hidden="1">
      <c r="B5" s="75" t="s">
        <v>138</v>
      </c>
      <c r="C5" s="76">
        <v>2006.0</v>
      </c>
      <c r="D5" s="83">
        <f>Data!K28</f>
        <v>955</v>
      </c>
      <c r="E5" s="76"/>
      <c r="F5" s="76">
        <v>252.0</v>
      </c>
      <c r="G5" s="79">
        <f t="shared" ref="G5:G14" si="1">D5/F5</f>
        <v>3.78968254</v>
      </c>
      <c r="H5" s="84">
        <f>G5*Data!$C$7*Data!$C$8</f>
        <v>22.73809524</v>
      </c>
      <c r="I5" s="79">
        <f t="shared" ref="I5:I7" si="2">F5/H5</f>
        <v>11.08272251</v>
      </c>
      <c r="J5" s="84">
        <f>I5*Data!$C$7*Data!$C$8</f>
        <v>66.49633508</v>
      </c>
      <c r="K5" s="102"/>
    </row>
    <row r="6" hidden="1">
      <c r="B6" s="82"/>
      <c r="C6" s="76">
        <v>2007.0</v>
      </c>
      <c r="D6" s="83">
        <f>Data!K27</f>
        <v>950</v>
      </c>
      <c r="E6" s="76"/>
      <c r="F6" s="76">
        <v>251.0</v>
      </c>
      <c r="G6" s="79">
        <f t="shared" si="1"/>
        <v>3.784860558</v>
      </c>
      <c r="H6" s="84">
        <f>G6*Data!$C$7*Data!$C$8</f>
        <v>22.70916335</v>
      </c>
      <c r="I6" s="79">
        <f t="shared" si="2"/>
        <v>11.05280702</v>
      </c>
      <c r="J6" s="84">
        <f>I6*Data!$C$7*Data!$C$8</f>
        <v>66.31684211</v>
      </c>
      <c r="K6" s="102"/>
    </row>
    <row r="7" hidden="1">
      <c r="B7" s="82"/>
      <c r="C7" s="76">
        <v>2008.0</v>
      </c>
      <c r="D7" s="83">
        <f>Data!K26</f>
        <v>1035</v>
      </c>
      <c r="E7" s="76"/>
      <c r="F7" s="76">
        <v>251.0</v>
      </c>
      <c r="G7" s="79">
        <f t="shared" si="1"/>
        <v>4.123505976</v>
      </c>
      <c r="H7" s="84">
        <f>G7*Data!$C$7*Data!$C$8</f>
        <v>24.74103586</v>
      </c>
      <c r="I7" s="79">
        <f t="shared" si="2"/>
        <v>10.14508857</v>
      </c>
      <c r="J7" s="84">
        <f>I7*Data!$C$7*Data!$C$8</f>
        <v>60.8705314</v>
      </c>
      <c r="K7" s="102"/>
    </row>
    <row r="8">
      <c r="B8" s="82"/>
      <c r="C8" s="104">
        <v>44835.0</v>
      </c>
      <c r="D8" s="76">
        <v>1345.0</v>
      </c>
      <c r="E8" s="76">
        <v>1626.0</v>
      </c>
      <c r="F8" s="76">
        <v>21.0</v>
      </c>
      <c r="G8" s="85">
        <f t="shared" si="1"/>
        <v>64.04761905</v>
      </c>
      <c r="H8" s="84">
        <f>G8*Data!$C$7*Data!$C$8</f>
        <v>384.2857143</v>
      </c>
      <c r="I8" s="85">
        <f t="shared" ref="I8:I14" si="3">E8/F8</f>
        <v>77.42857143</v>
      </c>
      <c r="J8" s="84">
        <f>I8*Data!$C$7*Data!$C$8</f>
        <v>464.5714286</v>
      </c>
      <c r="K8" s="62">
        <f t="shared" ref="K8:K14" si="4">J8+H8</f>
        <v>848.8571429</v>
      </c>
    </row>
    <row r="9">
      <c r="B9" s="82"/>
      <c r="C9" s="105">
        <v>44866.0</v>
      </c>
      <c r="D9" s="76">
        <v>1346.0</v>
      </c>
      <c r="E9" s="76">
        <v>1009.0</v>
      </c>
      <c r="F9" s="76">
        <v>21.0</v>
      </c>
      <c r="G9" s="85">
        <f t="shared" si="1"/>
        <v>64.0952381</v>
      </c>
      <c r="H9" s="84">
        <f>G9*Data!$C$7*Data!$C$8</f>
        <v>384.5714286</v>
      </c>
      <c r="I9" s="85">
        <f t="shared" si="3"/>
        <v>48.04761905</v>
      </c>
      <c r="J9" s="84">
        <f>I9*Data!$C$7*Data!$C$8</f>
        <v>288.2857143</v>
      </c>
      <c r="K9" s="62">
        <f t="shared" si="4"/>
        <v>672.8571429</v>
      </c>
    </row>
    <row r="10">
      <c r="B10" s="82"/>
      <c r="C10" s="104">
        <v>44896.0</v>
      </c>
      <c r="D10" s="76">
        <v>1080.0</v>
      </c>
      <c r="E10" s="76">
        <v>914.0</v>
      </c>
      <c r="F10" s="76">
        <v>21.0</v>
      </c>
      <c r="G10" s="85">
        <f t="shared" si="1"/>
        <v>51.42857143</v>
      </c>
      <c r="H10" s="84">
        <f>G10*Data!$C$7*Data!$C$8</f>
        <v>308.5714286</v>
      </c>
      <c r="I10" s="85">
        <f t="shared" si="3"/>
        <v>43.52380952</v>
      </c>
      <c r="J10" s="84">
        <f>I10*Data!$C$7*Data!$C$8</f>
        <v>261.1428571</v>
      </c>
      <c r="K10" s="62">
        <f t="shared" si="4"/>
        <v>569.7142857</v>
      </c>
    </row>
    <row r="11">
      <c r="B11" s="82"/>
      <c r="C11" s="104">
        <v>44927.0</v>
      </c>
      <c r="D11" s="76">
        <v>946.0</v>
      </c>
      <c r="E11" s="76">
        <v>702.0</v>
      </c>
      <c r="F11" s="76">
        <v>21.0</v>
      </c>
      <c r="G11" s="85">
        <f t="shared" si="1"/>
        <v>45.04761905</v>
      </c>
      <c r="H11" s="84">
        <f>G11*Data!$C$7*Data!$C$8</f>
        <v>270.2857143</v>
      </c>
      <c r="I11" s="85">
        <f t="shared" si="3"/>
        <v>33.42857143</v>
      </c>
      <c r="J11" s="84">
        <f>I11*Data!$C$7*Data!$C$8</f>
        <v>200.5714286</v>
      </c>
      <c r="K11" s="62">
        <f t="shared" si="4"/>
        <v>470.8571429</v>
      </c>
    </row>
    <row r="12">
      <c r="B12" s="82"/>
      <c r="C12" s="104">
        <v>44958.0</v>
      </c>
      <c r="D12" s="76">
        <v>1105.0</v>
      </c>
      <c r="E12" s="76">
        <v>900.0</v>
      </c>
      <c r="F12" s="76">
        <v>21.0</v>
      </c>
      <c r="G12" s="85">
        <f t="shared" si="1"/>
        <v>52.61904762</v>
      </c>
      <c r="H12" s="84">
        <f>G12*Data!$C$7*Data!$C$8</f>
        <v>315.7142857</v>
      </c>
      <c r="I12" s="85">
        <f t="shared" si="3"/>
        <v>42.85714286</v>
      </c>
      <c r="J12" s="84">
        <f>I12*Data!$C$7*Data!$C$8</f>
        <v>257.1428571</v>
      </c>
      <c r="K12" s="62">
        <f t="shared" si="4"/>
        <v>572.8571429</v>
      </c>
    </row>
    <row r="13">
      <c r="B13" s="82"/>
      <c r="C13" s="104">
        <v>44986.0</v>
      </c>
      <c r="D13" s="76">
        <v>1036.0</v>
      </c>
      <c r="E13" s="76">
        <v>1053.0</v>
      </c>
      <c r="F13" s="76">
        <v>21.0</v>
      </c>
      <c r="G13" s="85">
        <f t="shared" si="1"/>
        <v>49.33333333</v>
      </c>
      <c r="H13" s="84">
        <f>G13*Data!$C$7*Data!$C$8</f>
        <v>296</v>
      </c>
      <c r="I13" s="85">
        <f t="shared" si="3"/>
        <v>50.14285714</v>
      </c>
      <c r="J13" s="84">
        <f>I13*Data!$C$7*Data!$C$8</f>
        <v>300.8571429</v>
      </c>
      <c r="K13" s="62">
        <f t="shared" si="4"/>
        <v>596.8571429</v>
      </c>
    </row>
    <row r="14">
      <c r="B14" s="86"/>
      <c r="C14" s="104">
        <v>45017.0</v>
      </c>
      <c r="D14" s="76">
        <v>1003.0</v>
      </c>
      <c r="E14" s="76">
        <v>1283.0</v>
      </c>
      <c r="F14" s="76">
        <v>21.0</v>
      </c>
      <c r="G14" s="85">
        <f t="shared" si="1"/>
        <v>47.76190476</v>
      </c>
      <c r="H14" s="84">
        <f>G14*Data!$C$7*Data!$C$8</f>
        <v>286.5714286</v>
      </c>
      <c r="I14" s="85">
        <f t="shared" si="3"/>
        <v>61.0952381</v>
      </c>
      <c r="J14" s="84">
        <f>I14*Data!$C$7*Data!$C$8</f>
        <v>366.5714286</v>
      </c>
      <c r="K14" s="62">
        <f t="shared" si="4"/>
        <v>653.1428571</v>
      </c>
    </row>
    <row r="15">
      <c r="C15" s="93" t="s">
        <v>139</v>
      </c>
      <c r="D15" s="84">
        <f t="shared" ref="D15:K15" si="5">AVERAGE(D8:D14)</f>
        <v>1123</v>
      </c>
      <c r="E15" s="84">
        <f t="shared" si="5"/>
        <v>1069.571429</v>
      </c>
      <c r="F15" s="84">
        <f t="shared" si="5"/>
        <v>21</v>
      </c>
      <c r="G15" s="106">
        <f t="shared" si="5"/>
        <v>53.47619048</v>
      </c>
      <c r="H15" s="84">
        <f t="shared" si="5"/>
        <v>320.8571429</v>
      </c>
      <c r="I15" s="106">
        <f t="shared" si="5"/>
        <v>50.93197279</v>
      </c>
      <c r="J15" s="107">
        <f t="shared" si="5"/>
        <v>305.5918367</v>
      </c>
      <c r="K15" s="62">
        <f t="shared" si="5"/>
        <v>626.4489796</v>
      </c>
    </row>
    <row r="16">
      <c r="D16" s="14"/>
      <c r="E16" s="14"/>
      <c r="F16" s="14"/>
      <c r="G16" s="108"/>
      <c r="H16" s="109"/>
      <c r="I16" s="14"/>
      <c r="J16" s="109"/>
      <c r="K16" s="14"/>
    </row>
    <row r="17">
      <c r="G17" s="58"/>
      <c r="H17" s="58"/>
    </row>
    <row r="18">
      <c r="G18" s="58"/>
      <c r="H18" s="58"/>
    </row>
    <row r="19">
      <c r="G19" s="58"/>
      <c r="H19" s="58"/>
    </row>
    <row r="20">
      <c r="G20" s="58"/>
      <c r="H20" s="58"/>
    </row>
    <row r="21">
      <c r="G21" s="58"/>
      <c r="H21" s="58"/>
    </row>
    <row r="22">
      <c r="G22" s="58"/>
      <c r="H22" s="58"/>
    </row>
  </sheetData>
  <mergeCells count="1">
    <mergeCell ref="B5:B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17.5"/>
    <col customWidth="1" min="4" max="4" width="38.25"/>
  </cols>
  <sheetData>
    <row r="1">
      <c r="B1" s="11"/>
      <c r="C1" s="11"/>
    </row>
    <row r="2">
      <c r="B2" s="11"/>
      <c r="C2" s="110" t="s">
        <v>140</v>
      </c>
    </row>
    <row r="4">
      <c r="B4" s="111" t="s">
        <v>141</v>
      </c>
      <c r="C4" s="111" t="s">
        <v>142</v>
      </c>
    </row>
    <row r="5">
      <c r="B5" s="11" t="s">
        <v>143</v>
      </c>
      <c r="C5" s="112" t="s">
        <v>144</v>
      </c>
    </row>
    <row r="6">
      <c r="B6" s="11" t="s">
        <v>143</v>
      </c>
      <c r="C6" s="112" t="s">
        <v>145</v>
      </c>
    </row>
    <row r="7">
      <c r="B7" s="11" t="s">
        <v>143</v>
      </c>
      <c r="C7" s="112" t="s">
        <v>146</v>
      </c>
    </row>
    <row r="8">
      <c r="B8" s="11" t="s">
        <v>143</v>
      </c>
      <c r="C8" s="112" t="s">
        <v>147</v>
      </c>
    </row>
    <row r="9">
      <c r="B9" s="11" t="s">
        <v>143</v>
      </c>
      <c r="C9" s="112" t="s">
        <v>148</v>
      </c>
    </row>
    <row r="10">
      <c r="B10" s="11" t="s">
        <v>149</v>
      </c>
      <c r="C10" s="112" t="s">
        <v>150</v>
      </c>
    </row>
    <row r="11">
      <c r="B11" s="11" t="s">
        <v>149</v>
      </c>
      <c r="C11" s="112" t="s">
        <v>151</v>
      </c>
    </row>
    <row r="12">
      <c r="B12" s="11" t="s">
        <v>152</v>
      </c>
      <c r="C12" s="112" t="s">
        <v>153</v>
      </c>
    </row>
    <row r="13">
      <c r="B13" s="11" t="s">
        <v>152</v>
      </c>
      <c r="C13" s="112" t="s">
        <v>154</v>
      </c>
    </row>
    <row r="14">
      <c r="B14" s="11" t="s">
        <v>152</v>
      </c>
      <c r="C14" s="112" t="s">
        <v>155</v>
      </c>
    </row>
    <row r="15">
      <c r="B15" s="11" t="s">
        <v>149</v>
      </c>
      <c r="C15" s="112" t="s">
        <v>156</v>
      </c>
    </row>
    <row r="16">
      <c r="B16" s="11" t="s">
        <v>149</v>
      </c>
      <c r="C16" s="112" t="s">
        <v>157</v>
      </c>
    </row>
    <row r="17">
      <c r="B17" s="11" t="s">
        <v>152</v>
      </c>
      <c r="C17" s="112" t="s">
        <v>158</v>
      </c>
    </row>
    <row r="18">
      <c r="B18" s="11" t="s">
        <v>159</v>
      </c>
      <c r="C18" s="112" t="s">
        <v>160</v>
      </c>
    </row>
    <row r="19">
      <c r="B19" s="11" t="s">
        <v>149</v>
      </c>
      <c r="C19" s="112" t="s">
        <v>161</v>
      </c>
    </row>
    <row r="20">
      <c r="B20" s="11" t="s">
        <v>159</v>
      </c>
      <c r="C20" s="112" t="s">
        <v>162</v>
      </c>
    </row>
    <row r="21">
      <c r="B21" s="11" t="s">
        <v>159</v>
      </c>
      <c r="C21" s="112" t="s">
        <v>163</v>
      </c>
    </row>
    <row r="22">
      <c r="B22" s="11" t="s">
        <v>149</v>
      </c>
      <c r="C22" s="11" t="s">
        <v>164</v>
      </c>
    </row>
    <row r="23">
      <c r="B23" s="11" t="s">
        <v>152</v>
      </c>
      <c r="C23" s="112" t="s">
        <v>165</v>
      </c>
    </row>
    <row r="24">
      <c r="B24" s="11" t="s">
        <v>166</v>
      </c>
      <c r="C24" s="11" t="s">
        <v>167</v>
      </c>
    </row>
    <row r="25">
      <c r="B25" s="11" t="s">
        <v>166</v>
      </c>
      <c r="C25" s="11" t="s">
        <v>168</v>
      </c>
    </row>
    <row r="26">
      <c r="B26" s="11" t="s">
        <v>152</v>
      </c>
      <c r="C26" s="11" t="s">
        <v>169</v>
      </c>
    </row>
    <row r="27">
      <c r="B27" s="11" t="s">
        <v>152</v>
      </c>
      <c r="C27" s="11" t="s">
        <v>170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75"/>
  <cols>
    <col customWidth="1" min="1" max="1" width="10.75"/>
    <col customWidth="1" min="2" max="2" width="75.63"/>
    <col customWidth="1" min="3" max="3" width="20.75"/>
    <col customWidth="1" min="4" max="4" width="22.0"/>
    <col customWidth="1" min="5" max="5" width="26.5"/>
    <col customWidth="1" min="6" max="6" width="36.5"/>
    <col customWidth="1" min="7" max="7" width="53.25"/>
    <col customWidth="1" hidden="1" min="8" max="8" width="25.0"/>
    <col customWidth="1" min="9" max="9" width="29.88"/>
    <col customWidth="1" min="10" max="10" width="27.13"/>
    <col customWidth="1" min="11" max="11" width="32.13"/>
    <col customWidth="1" min="12" max="13" width="23.88"/>
    <col customWidth="1" min="14" max="14" width="30.63"/>
    <col customWidth="1" min="15" max="15" width="40.5"/>
    <col customWidth="1" min="16" max="16" width="30.63"/>
    <col customWidth="1" min="17" max="17" width="32.0"/>
  </cols>
  <sheetData>
    <row r="1">
      <c r="E1" s="14"/>
    </row>
    <row r="2">
      <c r="A2" s="15" t="s">
        <v>31</v>
      </c>
      <c r="B2" s="16"/>
      <c r="C2" s="17"/>
      <c r="D2" s="2" t="s">
        <v>32</v>
      </c>
      <c r="E2" s="2" t="s">
        <v>33</v>
      </c>
      <c r="F2" s="2" t="s">
        <v>34</v>
      </c>
      <c r="G2" s="60" t="s">
        <v>83</v>
      </c>
      <c r="I2" s="61" t="s">
        <v>126</v>
      </c>
      <c r="J2" s="61" t="s">
        <v>85</v>
      </c>
      <c r="K2" s="61" t="s">
        <v>86</v>
      </c>
    </row>
    <row r="3">
      <c r="A3" s="1" t="s">
        <v>35</v>
      </c>
      <c r="B3" s="18"/>
      <c r="C3" s="19">
        <v>1.6009</v>
      </c>
      <c r="D3" s="20">
        <v>7694.7491</v>
      </c>
      <c r="E3" s="20" t="s">
        <v>36</v>
      </c>
      <c r="F3" s="21" t="s">
        <v>37</v>
      </c>
      <c r="G3" s="3" t="s">
        <v>171</v>
      </c>
      <c r="I3" s="62">
        <f>E40</f>
        <v>456.23424</v>
      </c>
      <c r="J3" s="62">
        <f>L40</f>
        <v>54.46944</v>
      </c>
      <c r="K3" s="63">
        <f>N40</f>
        <v>401.7648</v>
      </c>
    </row>
    <row r="4">
      <c r="A4" s="1" t="s">
        <v>172</v>
      </c>
      <c r="B4" s="22"/>
      <c r="C4" s="22">
        <v>25.0</v>
      </c>
      <c r="F4" s="23" t="s">
        <v>39</v>
      </c>
      <c r="G4" s="10" t="s">
        <v>173</v>
      </c>
      <c r="I4" s="62">
        <f>AVERAGE(E16:E40)</f>
        <v>389.8556991</v>
      </c>
      <c r="J4" s="62">
        <f>AVERAGE(L16:L40)</f>
        <v>22.28621431</v>
      </c>
      <c r="K4" s="63">
        <f>AVERAGE(N16:N40)</f>
        <v>367.5694848</v>
      </c>
    </row>
    <row r="5">
      <c r="A5" s="1" t="s">
        <v>174</v>
      </c>
      <c r="B5" s="22"/>
      <c r="C5" s="22">
        <v>25.0</v>
      </c>
      <c r="F5" s="24" t="s">
        <v>41</v>
      </c>
      <c r="G5" s="10" t="s">
        <v>175</v>
      </c>
      <c r="I5" s="62">
        <f>AVERAGE(E11:E14)</f>
        <v>640.7662723</v>
      </c>
      <c r="J5" s="62">
        <f>AVERAGE(L11:L14)</f>
        <v>305.6612323</v>
      </c>
      <c r="K5" s="63">
        <f>AVERAGE(N11:N14)</f>
        <v>335.10504</v>
      </c>
    </row>
    <row r="6">
      <c r="A6" s="1" t="s">
        <v>42</v>
      </c>
      <c r="B6" s="22"/>
      <c r="C6" s="22">
        <v>250.0</v>
      </c>
      <c r="F6" s="5" t="s">
        <v>43</v>
      </c>
      <c r="G6" s="13" t="s">
        <v>176</v>
      </c>
      <c r="I6" s="59">
        <f>E11</f>
        <v>729.0330893</v>
      </c>
      <c r="J6" s="62">
        <f>L11</f>
        <v>451.5729293</v>
      </c>
      <c r="K6" s="63">
        <f>N11</f>
        <v>277.46016</v>
      </c>
    </row>
    <row r="7">
      <c r="A7" s="1" t="s">
        <v>177</v>
      </c>
      <c r="B7" s="22"/>
      <c r="C7" s="22">
        <v>3.0</v>
      </c>
      <c r="F7" s="25" t="s">
        <v>45</v>
      </c>
      <c r="G7" s="69" t="s">
        <v>178</v>
      </c>
      <c r="H7" s="113"/>
      <c r="I7" s="71">
        <f t="shared" ref="I7:K7" si="1">I6-I3</f>
        <v>272.7988493</v>
      </c>
      <c r="J7" s="71">
        <f t="shared" si="1"/>
        <v>397.1034893</v>
      </c>
      <c r="K7" s="114">
        <f t="shared" si="1"/>
        <v>-124.30464</v>
      </c>
    </row>
    <row r="8">
      <c r="A8" s="1" t="s">
        <v>46</v>
      </c>
      <c r="B8" s="22"/>
      <c r="C8" s="22">
        <v>2.0</v>
      </c>
      <c r="F8" s="26" t="s">
        <v>47</v>
      </c>
    </row>
    <row r="9" ht="16.5" customHeight="1">
      <c r="A9" s="1"/>
      <c r="E9" s="14"/>
    </row>
    <row r="10" ht="32.25" customHeight="1">
      <c r="A10" s="27" t="s">
        <v>48</v>
      </c>
      <c r="B10" s="28" t="s">
        <v>49</v>
      </c>
      <c r="C10" s="27" t="s">
        <v>50</v>
      </c>
      <c r="D10" s="27" t="s">
        <v>51</v>
      </c>
      <c r="E10" s="27" t="s">
        <v>52</v>
      </c>
      <c r="F10" s="27" t="s">
        <v>53</v>
      </c>
      <c r="G10" s="27" t="s">
        <v>54</v>
      </c>
      <c r="H10" s="27" t="s">
        <v>8</v>
      </c>
      <c r="I10" s="27" t="s">
        <v>55</v>
      </c>
      <c r="J10" s="27" t="s">
        <v>56</v>
      </c>
      <c r="K10" s="29" t="s">
        <v>57</v>
      </c>
      <c r="L10" s="29" t="s">
        <v>58</v>
      </c>
      <c r="M10" s="29" t="s">
        <v>59</v>
      </c>
      <c r="N10" s="29" t="s">
        <v>60</v>
      </c>
      <c r="O10" s="29" t="s">
        <v>61</v>
      </c>
      <c r="P10" s="29" t="s">
        <v>62</v>
      </c>
      <c r="Q10" s="30" t="s">
        <v>63</v>
      </c>
    </row>
    <row r="11">
      <c r="A11" s="20">
        <v>2023.0</v>
      </c>
      <c r="B11" s="11" t="s">
        <v>64</v>
      </c>
      <c r="C11" s="31">
        <v>289021.0</v>
      </c>
      <c r="D11" s="32">
        <f t="shared" ref="D11:D13" si="2">C11*$C$3+$D$3</f>
        <v>470388.468</v>
      </c>
      <c r="E11" s="33">
        <f t="shared" ref="E11:E51" si="3">L11+N11</f>
        <v>729.0330893</v>
      </c>
      <c r="F11" s="32">
        <f>D11</f>
        <v>470388.468</v>
      </c>
      <c r="G11" s="32">
        <f t="shared" ref="G11:G36" si="4">D11-F11</f>
        <v>0</v>
      </c>
      <c r="H11" s="34" t="s">
        <v>65</v>
      </c>
      <c r="I11" s="35">
        <v>20106.0</v>
      </c>
      <c r="J11" s="36">
        <f t="shared" ref="J11:J42" si="5">K11+M11</f>
        <v>30376.37872</v>
      </c>
      <c r="K11" s="37">
        <f>D11/$C$4</f>
        <v>18815.53872</v>
      </c>
      <c r="L11" s="38">
        <f t="shared" ref="L11:L28" si="6">K11/$C$6*$C$7*$C$8</f>
        <v>451.5729293</v>
      </c>
      <c r="M11" s="39">
        <f>C11/$C$5</f>
        <v>11560.84</v>
      </c>
      <c r="N11" s="40">
        <f t="shared" ref="N11:N51" si="7">M11/$C$6*$C$7*$C$8</f>
        <v>277.46016</v>
      </c>
      <c r="O11" s="41">
        <f t="shared" ref="O11:O41" si="8">E11-$E$21</f>
        <v>472.4250893</v>
      </c>
      <c r="P11" s="42">
        <f t="shared" ref="P11:P21" si="9">C11/M11</f>
        <v>25</v>
      </c>
      <c r="Q11" s="43">
        <f t="shared" ref="Q11:Q41" si="10">D11/K11</f>
        <v>25</v>
      </c>
    </row>
    <row r="12">
      <c r="A12" s="20">
        <v>2022.0</v>
      </c>
      <c r="B12" s="11" t="s">
        <v>66</v>
      </c>
      <c r="C12" s="31">
        <v>336085.0</v>
      </c>
      <c r="D12" s="32">
        <f t="shared" si="2"/>
        <v>545733.2256</v>
      </c>
      <c r="E12" s="33">
        <f t="shared" si="3"/>
        <v>591.84</v>
      </c>
      <c r="F12" s="44">
        <f t="shared" ref="F12:F28" si="11">K12*$C$4</f>
        <v>233100</v>
      </c>
      <c r="G12" s="32">
        <f t="shared" si="4"/>
        <v>312633.2256</v>
      </c>
      <c r="H12" s="34" t="s">
        <v>67</v>
      </c>
      <c r="I12" s="31">
        <v>24660.0</v>
      </c>
      <c r="J12" s="45">
        <f t="shared" si="5"/>
        <v>24660</v>
      </c>
      <c r="K12" s="46">
        <v>9324.0</v>
      </c>
      <c r="L12" s="38">
        <f t="shared" si="6"/>
        <v>223.776</v>
      </c>
      <c r="M12" s="45">
        <f>I12-K12</f>
        <v>15336</v>
      </c>
      <c r="N12" s="40">
        <f t="shared" si="7"/>
        <v>368.064</v>
      </c>
      <c r="O12" s="41">
        <f t="shared" si="8"/>
        <v>335.232</v>
      </c>
      <c r="P12" s="42">
        <f t="shared" si="9"/>
        <v>21.91477569</v>
      </c>
      <c r="Q12" s="43">
        <f t="shared" si="10"/>
        <v>58.52994698</v>
      </c>
    </row>
    <row r="13">
      <c r="A13" s="20">
        <v>2021.0</v>
      </c>
      <c r="B13" s="11"/>
      <c r="C13" s="31">
        <v>341316.0</v>
      </c>
      <c r="D13" s="32">
        <f t="shared" si="2"/>
        <v>554107.5335</v>
      </c>
      <c r="E13" s="33">
        <f t="shared" si="3"/>
        <v>558.648</v>
      </c>
      <c r="F13" s="44">
        <f t="shared" si="11"/>
        <v>245950</v>
      </c>
      <c r="G13" s="32">
        <f t="shared" si="4"/>
        <v>308157.5335</v>
      </c>
      <c r="H13" s="34" t="s">
        <v>67</v>
      </c>
      <c r="I13" s="31">
        <v>23277.0</v>
      </c>
      <c r="J13" s="45">
        <f t="shared" si="5"/>
        <v>23277</v>
      </c>
      <c r="K13" s="46">
        <v>9838.0</v>
      </c>
      <c r="L13" s="38">
        <f t="shared" si="6"/>
        <v>236.112</v>
      </c>
      <c r="M13" s="47">
        <v>13439.0</v>
      </c>
      <c r="N13" s="40">
        <f t="shared" si="7"/>
        <v>322.536</v>
      </c>
      <c r="O13" s="41">
        <f t="shared" si="8"/>
        <v>302.04</v>
      </c>
      <c r="P13" s="42">
        <f t="shared" si="9"/>
        <v>25.3974254</v>
      </c>
      <c r="Q13" s="43">
        <f t="shared" si="10"/>
        <v>56.32318901</v>
      </c>
    </row>
    <row r="14">
      <c r="A14" s="20">
        <v>2020.0</v>
      </c>
      <c r="B14" s="11"/>
      <c r="C14" s="31">
        <v>388572.0</v>
      </c>
      <c r="D14" s="48">
        <v>605800.0</v>
      </c>
      <c r="E14" s="33">
        <f t="shared" si="3"/>
        <v>683.544</v>
      </c>
      <c r="F14" s="44">
        <f t="shared" si="11"/>
        <v>324150</v>
      </c>
      <c r="G14" s="32">
        <f t="shared" si="4"/>
        <v>281650</v>
      </c>
      <c r="H14" s="34" t="s">
        <v>67</v>
      </c>
      <c r="I14" s="31">
        <v>28481.0</v>
      </c>
      <c r="J14" s="45">
        <f t="shared" si="5"/>
        <v>28481</v>
      </c>
      <c r="K14" s="46">
        <v>12966.0</v>
      </c>
      <c r="L14" s="38">
        <f t="shared" si="6"/>
        <v>311.184</v>
      </c>
      <c r="M14" s="45">
        <f>I14-K14</f>
        <v>15515</v>
      </c>
      <c r="N14" s="40">
        <f t="shared" si="7"/>
        <v>372.36</v>
      </c>
      <c r="O14" s="41">
        <f t="shared" si="8"/>
        <v>426.936</v>
      </c>
      <c r="P14" s="42">
        <f t="shared" si="9"/>
        <v>25.04492427</v>
      </c>
      <c r="Q14" s="43">
        <f t="shared" si="10"/>
        <v>46.72219651</v>
      </c>
    </row>
    <row r="15">
      <c r="A15" s="20">
        <v>2019.0</v>
      </c>
      <c r="B15" s="11"/>
      <c r="C15" s="31">
        <v>279546.0</v>
      </c>
      <c r="D15" s="48">
        <v>517217.0</v>
      </c>
      <c r="E15" s="33">
        <f t="shared" si="3"/>
        <v>467.472</v>
      </c>
      <c r="F15" s="44">
        <f t="shared" si="11"/>
        <v>170175</v>
      </c>
      <c r="G15" s="32">
        <f t="shared" si="4"/>
        <v>347042</v>
      </c>
      <c r="H15" s="34" t="s">
        <v>67</v>
      </c>
      <c r="I15" s="31">
        <v>19478.0</v>
      </c>
      <c r="J15" s="45">
        <f t="shared" si="5"/>
        <v>19478</v>
      </c>
      <c r="K15" s="46">
        <v>6807.0</v>
      </c>
      <c r="L15" s="38">
        <f t="shared" si="6"/>
        <v>163.368</v>
      </c>
      <c r="M15" s="47">
        <v>12671.0</v>
      </c>
      <c r="N15" s="40">
        <f t="shared" si="7"/>
        <v>304.104</v>
      </c>
      <c r="O15" s="41">
        <f t="shared" si="8"/>
        <v>210.864</v>
      </c>
      <c r="P15" s="42">
        <f t="shared" si="9"/>
        <v>22.06187357</v>
      </c>
      <c r="Q15" s="43">
        <f t="shared" si="10"/>
        <v>75.98310563</v>
      </c>
    </row>
    <row r="16">
      <c r="A16" s="20">
        <v>2018.0</v>
      </c>
      <c r="B16" s="11" t="s">
        <v>68</v>
      </c>
      <c r="C16" s="31">
        <v>313276.0</v>
      </c>
      <c r="D16" s="32">
        <f>C16*$C$3+$D$3</f>
        <v>509218.2975</v>
      </c>
      <c r="E16" s="33">
        <f t="shared" si="3"/>
        <v>349.368</v>
      </c>
      <c r="F16" s="44">
        <f t="shared" si="11"/>
        <v>26025</v>
      </c>
      <c r="G16" s="32">
        <f t="shared" si="4"/>
        <v>483193.2975</v>
      </c>
      <c r="H16" s="34" t="s">
        <v>67</v>
      </c>
      <c r="I16" s="31">
        <v>14557.0</v>
      </c>
      <c r="J16" s="45">
        <f t="shared" si="5"/>
        <v>14557</v>
      </c>
      <c r="K16" s="46">
        <v>1041.0</v>
      </c>
      <c r="L16" s="38">
        <f t="shared" si="6"/>
        <v>24.984</v>
      </c>
      <c r="M16" s="47">
        <v>13516.0</v>
      </c>
      <c r="N16" s="40">
        <f t="shared" si="7"/>
        <v>324.384</v>
      </c>
      <c r="O16" s="41">
        <f t="shared" si="8"/>
        <v>92.76</v>
      </c>
      <c r="P16" s="42">
        <f t="shared" si="9"/>
        <v>23.17815922</v>
      </c>
      <c r="Q16" s="43">
        <f t="shared" si="10"/>
        <v>489.1626297</v>
      </c>
    </row>
    <row r="17">
      <c r="A17" s="20">
        <v>2017.0</v>
      </c>
      <c r="B17" s="11"/>
      <c r="C17" s="31">
        <v>370385.0</v>
      </c>
      <c r="D17" s="48">
        <v>566401.0</v>
      </c>
      <c r="E17" s="33">
        <f t="shared" si="3"/>
        <v>343.92</v>
      </c>
      <c r="F17" s="44">
        <f t="shared" si="11"/>
        <v>15175</v>
      </c>
      <c r="G17" s="32">
        <f t="shared" si="4"/>
        <v>551226</v>
      </c>
      <c r="H17" s="34" t="s">
        <v>67</v>
      </c>
      <c r="I17" s="31">
        <v>14330.0</v>
      </c>
      <c r="J17" s="45">
        <f t="shared" si="5"/>
        <v>14330</v>
      </c>
      <c r="K17" s="46">
        <v>607.0</v>
      </c>
      <c r="L17" s="38">
        <f t="shared" si="6"/>
        <v>14.568</v>
      </c>
      <c r="M17" s="47">
        <f t="shared" ref="M17:M18" si="12">I17-K17</f>
        <v>13723</v>
      </c>
      <c r="N17" s="40">
        <f t="shared" si="7"/>
        <v>329.352</v>
      </c>
      <c r="O17" s="41">
        <f t="shared" si="8"/>
        <v>87.312</v>
      </c>
      <c r="P17" s="42">
        <f t="shared" si="9"/>
        <v>26.99008963</v>
      </c>
      <c r="Q17" s="43">
        <f t="shared" si="10"/>
        <v>933.1153213</v>
      </c>
    </row>
    <row r="18">
      <c r="A18" s="20">
        <v>2016.0</v>
      </c>
      <c r="C18" s="31">
        <v>275799.0</v>
      </c>
      <c r="D18" s="48">
        <v>512856.0</v>
      </c>
      <c r="E18" s="33">
        <f t="shared" si="3"/>
        <v>271.32</v>
      </c>
      <c r="F18" s="44">
        <f t="shared" si="11"/>
        <v>19950</v>
      </c>
      <c r="G18" s="32">
        <f t="shared" si="4"/>
        <v>492906</v>
      </c>
      <c r="H18" s="34" t="s">
        <v>67</v>
      </c>
      <c r="I18" s="31">
        <v>11305.0</v>
      </c>
      <c r="J18" s="45">
        <f t="shared" si="5"/>
        <v>11305</v>
      </c>
      <c r="K18" s="46">
        <v>798.0</v>
      </c>
      <c r="L18" s="38">
        <f t="shared" si="6"/>
        <v>19.152</v>
      </c>
      <c r="M18" s="45">
        <f t="shared" si="12"/>
        <v>10507</v>
      </c>
      <c r="N18" s="40">
        <f t="shared" si="7"/>
        <v>252.168</v>
      </c>
      <c r="O18" s="41">
        <f t="shared" si="8"/>
        <v>14.712</v>
      </c>
      <c r="P18" s="42">
        <f t="shared" si="9"/>
        <v>26.24907205</v>
      </c>
      <c r="Q18" s="43">
        <f t="shared" si="10"/>
        <v>642.6766917</v>
      </c>
    </row>
    <row r="19">
      <c r="A19" s="20">
        <v>2015.0</v>
      </c>
      <c r="B19" s="11" t="s">
        <v>69</v>
      </c>
      <c r="C19" s="31">
        <v>244074.0</v>
      </c>
      <c r="D19" s="48">
        <v>424996.0</v>
      </c>
      <c r="E19" s="33">
        <f t="shared" si="3"/>
        <v>209.496</v>
      </c>
      <c r="F19" s="44">
        <f t="shared" si="11"/>
        <v>15975</v>
      </c>
      <c r="G19" s="32">
        <f t="shared" si="4"/>
        <v>409021</v>
      </c>
      <c r="H19" s="34" t="s">
        <v>67</v>
      </c>
      <c r="I19" s="31">
        <v>8729.0</v>
      </c>
      <c r="J19" s="45">
        <f t="shared" si="5"/>
        <v>8729</v>
      </c>
      <c r="K19" s="46">
        <v>639.0</v>
      </c>
      <c r="L19" s="38">
        <f t="shared" si="6"/>
        <v>15.336</v>
      </c>
      <c r="M19" s="47">
        <v>8090.0</v>
      </c>
      <c r="N19" s="40">
        <f t="shared" si="7"/>
        <v>194.16</v>
      </c>
      <c r="O19" s="41">
        <f t="shared" si="8"/>
        <v>-47.112</v>
      </c>
      <c r="P19" s="42">
        <f t="shared" si="9"/>
        <v>30.16983931</v>
      </c>
      <c r="Q19" s="43">
        <f t="shared" si="10"/>
        <v>665.0954617</v>
      </c>
    </row>
    <row r="20">
      <c r="A20" s="20">
        <v>2014.0</v>
      </c>
      <c r="B20" s="11"/>
      <c r="C20" s="31">
        <v>381810.0</v>
      </c>
      <c r="D20" s="48">
        <v>441253.0</v>
      </c>
      <c r="E20" s="33">
        <f t="shared" si="3"/>
        <v>230.448</v>
      </c>
      <c r="F20" s="44">
        <f t="shared" si="11"/>
        <v>29100</v>
      </c>
      <c r="G20" s="32">
        <f t="shared" si="4"/>
        <v>412153</v>
      </c>
      <c r="H20" s="34" t="s">
        <v>67</v>
      </c>
      <c r="I20" s="31">
        <v>9602.0</v>
      </c>
      <c r="J20" s="45">
        <f t="shared" si="5"/>
        <v>9602</v>
      </c>
      <c r="K20" s="46">
        <v>1164.0</v>
      </c>
      <c r="L20" s="38">
        <f t="shared" si="6"/>
        <v>27.936</v>
      </c>
      <c r="M20" s="45">
        <f>I20-K20</f>
        <v>8438</v>
      </c>
      <c r="N20" s="40">
        <f t="shared" si="7"/>
        <v>202.512</v>
      </c>
      <c r="O20" s="41">
        <f t="shared" si="8"/>
        <v>-26.16</v>
      </c>
      <c r="P20" s="42">
        <f t="shared" si="9"/>
        <v>45.24887414</v>
      </c>
      <c r="Q20" s="43">
        <f t="shared" si="10"/>
        <v>379.0833333</v>
      </c>
    </row>
    <row r="21">
      <c r="A21" s="20">
        <v>2013.0</v>
      </c>
      <c r="B21" s="11" t="s">
        <v>70</v>
      </c>
      <c r="C21" s="48">
        <v>341377.0</v>
      </c>
      <c r="D21" s="48">
        <v>552638.0</v>
      </c>
      <c r="E21" s="33">
        <f t="shared" si="3"/>
        <v>256.608</v>
      </c>
      <c r="F21" s="44">
        <f t="shared" si="11"/>
        <v>47100</v>
      </c>
      <c r="G21" s="32">
        <f t="shared" si="4"/>
        <v>505538</v>
      </c>
      <c r="H21" s="34" t="s">
        <v>67</v>
      </c>
      <c r="I21" s="31">
        <f t="shared" ref="I21:I28" si="13">K21+M21</f>
        <v>10692</v>
      </c>
      <c r="J21" s="45">
        <f t="shared" si="5"/>
        <v>10692</v>
      </c>
      <c r="K21" s="46">
        <v>1884.0</v>
      </c>
      <c r="L21" s="38">
        <f t="shared" si="6"/>
        <v>45.216</v>
      </c>
      <c r="M21" s="47">
        <v>8808.0</v>
      </c>
      <c r="N21" s="40">
        <f t="shared" si="7"/>
        <v>211.392</v>
      </c>
      <c r="O21" s="41">
        <f t="shared" si="8"/>
        <v>0</v>
      </c>
      <c r="P21" s="42">
        <f t="shared" si="9"/>
        <v>38.75760672</v>
      </c>
      <c r="Q21" s="43">
        <f t="shared" si="10"/>
        <v>293.3322718</v>
      </c>
    </row>
    <row r="22">
      <c r="A22" s="20">
        <v>2012.0</v>
      </c>
      <c r="C22" s="34"/>
      <c r="D22" s="48"/>
      <c r="E22" s="33">
        <f t="shared" si="3"/>
        <v>270.288</v>
      </c>
      <c r="F22" s="44">
        <f t="shared" si="11"/>
        <v>55850</v>
      </c>
      <c r="G22" s="32">
        <f t="shared" si="4"/>
        <v>-55850</v>
      </c>
      <c r="H22" s="34" t="s">
        <v>67</v>
      </c>
      <c r="I22" s="31">
        <f t="shared" si="13"/>
        <v>11262</v>
      </c>
      <c r="J22" s="45">
        <f t="shared" si="5"/>
        <v>11262</v>
      </c>
      <c r="K22" s="46">
        <v>2234.0</v>
      </c>
      <c r="L22" s="38">
        <f t="shared" si="6"/>
        <v>53.616</v>
      </c>
      <c r="M22" s="47">
        <v>9028.0</v>
      </c>
      <c r="N22" s="40">
        <f t="shared" si="7"/>
        <v>216.672</v>
      </c>
      <c r="O22" s="41">
        <f t="shared" si="8"/>
        <v>13.68</v>
      </c>
      <c r="P22" s="42"/>
      <c r="Q22" s="43">
        <f t="shared" si="10"/>
        <v>0</v>
      </c>
    </row>
    <row r="23">
      <c r="A23" s="20">
        <v>2011.0</v>
      </c>
      <c r="B23" s="11"/>
      <c r="C23" s="48">
        <v>390132.0</v>
      </c>
      <c r="D23" s="48">
        <v>648369.0</v>
      </c>
      <c r="E23" s="33">
        <f t="shared" si="3"/>
        <v>247.584</v>
      </c>
      <c r="F23" s="44">
        <f t="shared" si="11"/>
        <v>24450</v>
      </c>
      <c r="G23" s="32">
        <f t="shared" si="4"/>
        <v>623919</v>
      </c>
      <c r="H23" s="34" t="s">
        <v>67</v>
      </c>
      <c r="I23" s="31">
        <f t="shared" si="13"/>
        <v>10316</v>
      </c>
      <c r="J23" s="45">
        <f t="shared" si="5"/>
        <v>10316</v>
      </c>
      <c r="K23" s="46">
        <v>978.0</v>
      </c>
      <c r="L23" s="38">
        <f t="shared" si="6"/>
        <v>23.472</v>
      </c>
      <c r="M23" s="47">
        <v>9338.0</v>
      </c>
      <c r="N23" s="40">
        <f t="shared" si="7"/>
        <v>224.112</v>
      </c>
      <c r="O23" s="41">
        <f t="shared" si="8"/>
        <v>-9.024</v>
      </c>
      <c r="P23" s="42">
        <f t="shared" ref="P23:P41" si="14">C23/M23</f>
        <v>41.77896766</v>
      </c>
      <c r="Q23" s="43">
        <f t="shared" si="10"/>
        <v>662.9539877</v>
      </c>
    </row>
    <row r="24">
      <c r="A24" s="20">
        <v>2010.0</v>
      </c>
      <c r="B24" s="11"/>
      <c r="C24" s="48">
        <v>321788.0</v>
      </c>
      <c r="D24" s="48">
        <v>541079.0</v>
      </c>
      <c r="E24" s="33">
        <f t="shared" si="3"/>
        <v>240.576</v>
      </c>
      <c r="F24" s="44">
        <f t="shared" si="11"/>
        <v>18350</v>
      </c>
      <c r="G24" s="32">
        <f t="shared" si="4"/>
        <v>522729</v>
      </c>
      <c r="H24" s="34" t="s">
        <v>67</v>
      </c>
      <c r="I24" s="31">
        <f t="shared" si="13"/>
        <v>10024</v>
      </c>
      <c r="J24" s="45">
        <f t="shared" si="5"/>
        <v>10024</v>
      </c>
      <c r="K24" s="46">
        <v>734.0</v>
      </c>
      <c r="L24" s="38">
        <f t="shared" si="6"/>
        <v>17.616</v>
      </c>
      <c r="M24" s="47">
        <v>9290.0</v>
      </c>
      <c r="N24" s="40">
        <f t="shared" si="7"/>
        <v>222.96</v>
      </c>
      <c r="O24" s="41">
        <f t="shared" si="8"/>
        <v>-16.032</v>
      </c>
      <c r="P24" s="42">
        <f t="shared" si="14"/>
        <v>34.63810549</v>
      </c>
      <c r="Q24" s="43">
        <f t="shared" si="10"/>
        <v>737.1648501</v>
      </c>
    </row>
    <row r="25">
      <c r="A25" s="20">
        <v>2009.0</v>
      </c>
      <c r="B25" s="11" t="s">
        <v>71</v>
      </c>
      <c r="C25" s="48">
        <v>281906.0</v>
      </c>
      <c r="D25" s="48">
        <v>463398.0</v>
      </c>
      <c r="E25" s="33">
        <f t="shared" si="3"/>
        <v>235.176</v>
      </c>
      <c r="F25" s="44">
        <f t="shared" si="11"/>
        <v>9800</v>
      </c>
      <c r="G25" s="32">
        <f t="shared" si="4"/>
        <v>453598</v>
      </c>
      <c r="H25" s="34" t="s">
        <v>67</v>
      </c>
      <c r="I25" s="31">
        <f t="shared" si="13"/>
        <v>9799</v>
      </c>
      <c r="J25" s="45">
        <f t="shared" si="5"/>
        <v>9799</v>
      </c>
      <c r="K25" s="46">
        <v>392.0</v>
      </c>
      <c r="L25" s="38">
        <f t="shared" si="6"/>
        <v>9.408</v>
      </c>
      <c r="M25" s="47">
        <v>9407.0</v>
      </c>
      <c r="N25" s="40">
        <f t="shared" si="7"/>
        <v>225.768</v>
      </c>
      <c r="O25" s="41">
        <f t="shared" si="8"/>
        <v>-21.432</v>
      </c>
      <c r="P25" s="42">
        <f t="shared" si="14"/>
        <v>29.96768364</v>
      </c>
      <c r="Q25" s="43">
        <f t="shared" si="10"/>
        <v>1182.137755</v>
      </c>
    </row>
    <row r="26">
      <c r="A26" s="20">
        <v>2008.0</v>
      </c>
      <c r="C26" s="48">
        <v>311302.0</v>
      </c>
      <c r="D26" s="48">
        <v>501317.0</v>
      </c>
      <c r="E26" s="33">
        <f t="shared" si="3"/>
        <v>427.32</v>
      </c>
      <c r="F26" s="44">
        <f t="shared" si="11"/>
        <v>25875</v>
      </c>
      <c r="G26" s="32">
        <f t="shared" si="4"/>
        <v>475442</v>
      </c>
      <c r="H26" s="34" t="s">
        <v>67</v>
      </c>
      <c r="I26" s="31">
        <f t="shared" si="13"/>
        <v>17805</v>
      </c>
      <c r="J26" s="45">
        <f t="shared" si="5"/>
        <v>17805</v>
      </c>
      <c r="K26" s="46">
        <v>1035.0</v>
      </c>
      <c r="L26" s="38">
        <f t="shared" si="6"/>
        <v>24.84</v>
      </c>
      <c r="M26" s="47">
        <v>16770.0</v>
      </c>
      <c r="N26" s="40">
        <f t="shared" si="7"/>
        <v>402.48</v>
      </c>
      <c r="O26" s="41">
        <f t="shared" si="8"/>
        <v>170.712</v>
      </c>
      <c r="P26" s="42">
        <f t="shared" si="14"/>
        <v>18.56302922</v>
      </c>
      <c r="Q26" s="43">
        <f t="shared" si="10"/>
        <v>484.3642512</v>
      </c>
    </row>
    <row r="27">
      <c r="A27" s="20">
        <v>2007.0</v>
      </c>
      <c r="B27" s="11" t="s">
        <v>72</v>
      </c>
      <c r="C27" s="48">
        <v>479225.0</v>
      </c>
      <c r="D27" s="48">
        <v>788780.0</v>
      </c>
      <c r="E27" s="33">
        <f t="shared" si="3"/>
        <v>504.192</v>
      </c>
      <c r="F27" s="44">
        <f t="shared" si="11"/>
        <v>23750</v>
      </c>
      <c r="G27" s="32">
        <f t="shared" si="4"/>
        <v>765030</v>
      </c>
      <c r="H27" s="34" t="s">
        <v>67</v>
      </c>
      <c r="I27" s="31">
        <f t="shared" si="13"/>
        <v>21008</v>
      </c>
      <c r="J27" s="45">
        <f t="shared" si="5"/>
        <v>21008</v>
      </c>
      <c r="K27" s="46">
        <v>950.0</v>
      </c>
      <c r="L27" s="38">
        <f t="shared" si="6"/>
        <v>22.8</v>
      </c>
      <c r="M27" s="47">
        <v>20058.0</v>
      </c>
      <c r="N27" s="40">
        <f t="shared" si="7"/>
        <v>481.392</v>
      </c>
      <c r="O27" s="41">
        <f t="shared" si="8"/>
        <v>247.584</v>
      </c>
      <c r="P27" s="42">
        <f t="shared" si="14"/>
        <v>23.89196331</v>
      </c>
      <c r="Q27" s="43">
        <f t="shared" si="10"/>
        <v>830.2947368</v>
      </c>
    </row>
    <row r="28">
      <c r="A28" s="20">
        <v>2006.0</v>
      </c>
      <c r="B28" s="11" t="s">
        <v>73</v>
      </c>
      <c r="C28" s="48">
        <v>466173.0</v>
      </c>
      <c r="D28" s="48">
        <v>734456.0</v>
      </c>
      <c r="E28" s="33">
        <f t="shared" si="3"/>
        <v>466.344</v>
      </c>
      <c r="F28" s="44">
        <f t="shared" si="11"/>
        <v>23875</v>
      </c>
      <c r="G28" s="32">
        <f t="shared" si="4"/>
        <v>710581</v>
      </c>
      <c r="H28" s="34" t="s">
        <v>67</v>
      </c>
      <c r="I28" s="31">
        <f t="shared" si="13"/>
        <v>19431</v>
      </c>
      <c r="J28" s="45">
        <f t="shared" si="5"/>
        <v>19431</v>
      </c>
      <c r="K28" s="46">
        <v>955.0</v>
      </c>
      <c r="L28" s="38">
        <f t="shared" si="6"/>
        <v>22.92</v>
      </c>
      <c r="M28" s="47">
        <v>18476.0</v>
      </c>
      <c r="N28" s="40">
        <f t="shared" si="7"/>
        <v>443.424</v>
      </c>
      <c r="O28" s="41">
        <f t="shared" si="8"/>
        <v>209.736</v>
      </c>
      <c r="P28" s="42">
        <f t="shared" si="14"/>
        <v>25.231273</v>
      </c>
      <c r="Q28" s="43">
        <f t="shared" si="10"/>
        <v>769.0638743</v>
      </c>
    </row>
    <row r="29">
      <c r="A29" s="20">
        <v>2005.0</v>
      </c>
      <c r="B29" s="11"/>
      <c r="C29" s="48">
        <v>440384.0</v>
      </c>
      <c r="D29" s="48">
        <v>739260.0</v>
      </c>
      <c r="E29" s="33">
        <f t="shared" si="3"/>
        <v>439.2069962</v>
      </c>
      <c r="F29" s="44">
        <f t="shared" ref="F29:F39" si="15">$C$4*K29</f>
        <v>25000</v>
      </c>
      <c r="G29" s="32">
        <f t="shared" si="4"/>
        <v>714260</v>
      </c>
      <c r="H29" s="34" t="s">
        <v>0</v>
      </c>
      <c r="I29" s="35" t="s">
        <v>74</v>
      </c>
      <c r="J29" s="36">
        <f t="shared" si="5"/>
        <v>18615.36</v>
      </c>
      <c r="K29" s="50">
        <v>1000.0</v>
      </c>
      <c r="L29" s="38">
        <f t="shared" ref="L29:L39" si="16">K29/365*2*3</f>
        <v>16.43835616</v>
      </c>
      <c r="M29" s="36">
        <f t="shared" ref="M29:M39" si="17">C29/$C$5</f>
        <v>17615.36</v>
      </c>
      <c r="N29" s="51">
        <f t="shared" si="7"/>
        <v>422.76864</v>
      </c>
      <c r="O29" s="41">
        <f t="shared" si="8"/>
        <v>182.5989962</v>
      </c>
      <c r="P29" s="42">
        <f t="shared" si="14"/>
        <v>25</v>
      </c>
      <c r="Q29" s="43">
        <f t="shared" si="10"/>
        <v>739.26</v>
      </c>
    </row>
    <row r="30">
      <c r="A30" s="20">
        <v>2004.0</v>
      </c>
      <c r="B30" s="11"/>
      <c r="C30" s="48">
        <v>472053.0</v>
      </c>
      <c r="D30" s="48">
        <v>791866.0</v>
      </c>
      <c r="E30" s="33">
        <f t="shared" si="3"/>
        <v>469.6092362</v>
      </c>
      <c r="F30" s="44">
        <f t="shared" si="15"/>
        <v>25000</v>
      </c>
      <c r="G30" s="32">
        <f t="shared" si="4"/>
        <v>766866</v>
      </c>
      <c r="H30" s="34" t="s">
        <v>0</v>
      </c>
      <c r="I30" s="35" t="s">
        <v>74</v>
      </c>
      <c r="J30" s="36">
        <f t="shared" si="5"/>
        <v>19882.12</v>
      </c>
      <c r="K30" s="50">
        <v>1000.0</v>
      </c>
      <c r="L30" s="38">
        <f t="shared" si="16"/>
        <v>16.43835616</v>
      </c>
      <c r="M30" s="36">
        <f t="shared" si="17"/>
        <v>18882.12</v>
      </c>
      <c r="N30" s="51">
        <f t="shared" si="7"/>
        <v>453.17088</v>
      </c>
      <c r="O30" s="41">
        <f t="shared" si="8"/>
        <v>213.0012362</v>
      </c>
      <c r="P30" s="42">
        <f t="shared" si="14"/>
        <v>25</v>
      </c>
      <c r="Q30" s="43">
        <f t="shared" si="10"/>
        <v>791.866</v>
      </c>
    </row>
    <row r="31">
      <c r="A31" s="20">
        <v>2003.0</v>
      </c>
      <c r="B31" s="11"/>
      <c r="C31" s="48">
        <v>516251.0</v>
      </c>
      <c r="D31" s="48">
        <v>830428.0</v>
      </c>
      <c r="E31" s="33">
        <f t="shared" si="3"/>
        <v>512.0393162</v>
      </c>
      <c r="F31" s="44">
        <f t="shared" si="15"/>
        <v>25000</v>
      </c>
      <c r="G31" s="32">
        <f t="shared" si="4"/>
        <v>805428</v>
      </c>
      <c r="H31" s="34" t="s">
        <v>0</v>
      </c>
      <c r="I31" s="35" t="s">
        <v>74</v>
      </c>
      <c r="J31" s="36">
        <f t="shared" si="5"/>
        <v>21650.04</v>
      </c>
      <c r="K31" s="50">
        <v>1000.0</v>
      </c>
      <c r="L31" s="38">
        <f t="shared" si="16"/>
        <v>16.43835616</v>
      </c>
      <c r="M31" s="36">
        <f t="shared" si="17"/>
        <v>20650.04</v>
      </c>
      <c r="N31" s="51">
        <f t="shared" si="7"/>
        <v>495.60096</v>
      </c>
      <c r="O31" s="41">
        <f t="shared" si="8"/>
        <v>255.4313162</v>
      </c>
      <c r="P31" s="42">
        <f t="shared" si="14"/>
        <v>25</v>
      </c>
      <c r="Q31" s="43">
        <f t="shared" si="10"/>
        <v>830.428</v>
      </c>
    </row>
    <row r="32">
      <c r="A32" s="20">
        <v>2002.0</v>
      </c>
      <c r="B32" s="11"/>
      <c r="C32" s="48">
        <v>472945.0</v>
      </c>
      <c r="D32" s="48">
        <v>736289.0</v>
      </c>
      <c r="E32" s="33">
        <f t="shared" si="3"/>
        <v>470.4655562</v>
      </c>
      <c r="F32" s="44">
        <f t="shared" si="15"/>
        <v>25000</v>
      </c>
      <c r="G32" s="32">
        <f t="shared" si="4"/>
        <v>711289</v>
      </c>
      <c r="H32" s="34" t="s">
        <v>0</v>
      </c>
      <c r="I32" s="35" t="s">
        <v>74</v>
      </c>
      <c r="J32" s="36">
        <f t="shared" si="5"/>
        <v>19917.8</v>
      </c>
      <c r="K32" s="50">
        <v>1000.0</v>
      </c>
      <c r="L32" s="38">
        <f t="shared" si="16"/>
        <v>16.43835616</v>
      </c>
      <c r="M32" s="36">
        <f t="shared" si="17"/>
        <v>18917.8</v>
      </c>
      <c r="N32" s="51">
        <f t="shared" si="7"/>
        <v>454.0272</v>
      </c>
      <c r="O32" s="41">
        <f t="shared" si="8"/>
        <v>213.8575562</v>
      </c>
      <c r="P32" s="42">
        <f t="shared" si="14"/>
        <v>25</v>
      </c>
      <c r="Q32" s="43">
        <f t="shared" si="10"/>
        <v>736.289</v>
      </c>
    </row>
    <row r="33">
      <c r="A33" s="20">
        <v>2001.0</v>
      </c>
      <c r="B33" s="52" t="s">
        <v>75</v>
      </c>
      <c r="C33" s="48">
        <v>508733.0</v>
      </c>
      <c r="D33" s="48">
        <v>760801.0</v>
      </c>
      <c r="E33" s="33">
        <f t="shared" si="3"/>
        <v>504.8220362</v>
      </c>
      <c r="F33" s="44">
        <f t="shared" si="15"/>
        <v>25000</v>
      </c>
      <c r="G33" s="32">
        <f t="shared" si="4"/>
        <v>735801</v>
      </c>
      <c r="H33" s="34" t="s">
        <v>0</v>
      </c>
      <c r="I33" s="35" t="s">
        <v>74</v>
      </c>
      <c r="J33" s="36">
        <f t="shared" si="5"/>
        <v>21349.32</v>
      </c>
      <c r="K33" s="50">
        <v>1000.0</v>
      </c>
      <c r="L33" s="38">
        <f t="shared" si="16"/>
        <v>16.43835616</v>
      </c>
      <c r="M33" s="36">
        <f t="shared" si="17"/>
        <v>20349.32</v>
      </c>
      <c r="N33" s="51">
        <f t="shared" si="7"/>
        <v>488.38368</v>
      </c>
      <c r="O33" s="41">
        <f t="shared" si="8"/>
        <v>248.2140362</v>
      </c>
      <c r="P33" s="42">
        <f t="shared" si="14"/>
        <v>25</v>
      </c>
      <c r="Q33" s="43">
        <f t="shared" si="10"/>
        <v>760.801</v>
      </c>
    </row>
    <row r="34">
      <c r="A34" s="20">
        <v>2000.0</v>
      </c>
      <c r="B34" s="11" t="s">
        <v>76</v>
      </c>
      <c r="C34" s="48">
        <v>541747.0</v>
      </c>
      <c r="D34" s="48">
        <v>846129.0</v>
      </c>
      <c r="E34" s="33">
        <f t="shared" si="3"/>
        <v>536.5154762</v>
      </c>
      <c r="F34" s="44">
        <f t="shared" si="15"/>
        <v>25000</v>
      </c>
      <c r="G34" s="32">
        <f t="shared" si="4"/>
        <v>821129</v>
      </c>
      <c r="H34" s="34" t="s">
        <v>0</v>
      </c>
      <c r="I34" s="35" t="s">
        <v>74</v>
      </c>
      <c r="J34" s="36">
        <f t="shared" si="5"/>
        <v>22669.88</v>
      </c>
      <c r="K34" s="50">
        <v>1000.0</v>
      </c>
      <c r="L34" s="38">
        <f t="shared" si="16"/>
        <v>16.43835616</v>
      </c>
      <c r="M34" s="36">
        <f t="shared" si="17"/>
        <v>21669.88</v>
      </c>
      <c r="N34" s="51">
        <f t="shared" si="7"/>
        <v>520.07712</v>
      </c>
      <c r="O34" s="41">
        <f t="shared" si="8"/>
        <v>279.9074762</v>
      </c>
      <c r="P34" s="42">
        <f t="shared" si="14"/>
        <v>25</v>
      </c>
      <c r="Q34" s="43">
        <f t="shared" si="10"/>
        <v>846.129</v>
      </c>
    </row>
    <row r="35">
      <c r="A35" s="20">
        <v>1999.0</v>
      </c>
      <c r="B35" s="11" t="s">
        <v>77</v>
      </c>
      <c r="C35" s="48">
        <v>500031.0</v>
      </c>
      <c r="D35" s="48">
        <v>845049.0</v>
      </c>
      <c r="E35" s="33">
        <f t="shared" si="3"/>
        <v>496.4681162</v>
      </c>
      <c r="F35" s="44">
        <f t="shared" si="15"/>
        <v>25000</v>
      </c>
      <c r="G35" s="32">
        <f t="shared" si="4"/>
        <v>820049</v>
      </c>
      <c r="H35" s="34" t="s">
        <v>0</v>
      </c>
      <c r="I35" s="35" t="s">
        <v>74</v>
      </c>
      <c r="J35" s="36">
        <f t="shared" si="5"/>
        <v>21001.24</v>
      </c>
      <c r="K35" s="50">
        <v>1000.0</v>
      </c>
      <c r="L35" s="38">
        <f t="shared" si="16"/>
        <v>16.43835616</v>
      </c>
      <c r="M35" s="36">
        <f t="shared" si="17"/>
        <v>20001.24</v>
      </c>
      <c r="N35" s="51">
        <f t="shared" si="7"/>
        <v>480.02976</v>
      </c>
      <c r="O35" s="41">
        <f t="shared" si="8"/>
        <v>239.8601162</v>
      </c>
      <c r="P35" s="42">
        <f t="shared" si="14"/>
        <v>25</v>
      </c>
      <c r="Q35" s="43">
        <f t="shared" si="10"/>
        <v>845.049</v>
      </c>
    </row>
    <row r="36">
      <c r="A36" s="20">
        <v>1998.0</v>
      </c>
      <c r="B36" s="52" t="s">
        <v>78</v>
      </c>
      <c r="C36" s="48">
        <v>501008.0</v>
      </c>
      <c r="D36" s="48">
        <v>826631.0</v>
      </c>
      <c r="E36" s="33">
        <f t="shared" si="3"/>
        <v>497.4060362</v>
      </c>
      <c r="F36" s="44">
        <f t="shared" si="15"/>
        <v>25000</v>
      </c>
      <c r="G36" s="32">
        <f t="shared" si="4"/>
        <v>801631</v>
      </c>
      <c r="H36" s="34" t="s">
        <v>0</v>
      </c>
      <c r="I36" s="35" t="s">
        <v>74</v>
      </c>
      <c r="J36" s="36">
        <f t="shared" si="5"/>
        <v>21040.32</v>
      </c>
      <c r="K36" s="50">
        <v>1000.0</v>
      </c>
      <c r="L36" s="38">
        <f t="shared" si="16"/>
        <v>16.43835616</v>
      </c>
      <c r="M36" s="36">
        <f t="shared" si="17"/>
        <v>20040.32</v>
      </c>
      <c r="N36" s="51">
        <f t="shared" si="7"/>
        <v>480.96768</v>
      </c>
      <c r="O36" s="41">
        <f t="shared" si="8"/>
        <v>240.7980362</v>
      </c>
      <c r="P36" s="42">
        <f t="shared" si="14"/>
        <v>25</v>
      </c>
      <c r="Q36" s="43">
        <f t="shared" si="10"/>
        <v>826.631</v>
      </c>
    </row>
    <row r="37">
      <c r="A37" s="20">
        <v>1997.0</v>
      </c>
      <c r="B37" s="11" t="s">
        <v>79</v>
      </c>
      <c r="C37" s="48">
        <v>458694.0</v>
      </c>
      <c r="D37" s="53"/>
      <c r="E37" s="33">
        <f t="shared" si="3"/>
        <v>456.7845962</v>
      </c>
      <c r="F37" s="44">
        <f t="shared" si="15"/>
        <v>25000</v>
      </c>
      <c r="G37" s="32">
        <v>100000.0</v>
      </c>
      <c r="H37" s="34" t="s">
        <v>0</v>
      </c>
      <c r="I37" s="35" t="s">
        <v>74</v>
      </c>
      <c r="J37" s="36">
        <f t="shared" si="5"/>
        <v>19347.76</v>
      </c>
      <c r="K37" s="50">
        <v>1000.0</v>
      </c>
      <c r="L37" s="38">
        <f t="shared" si="16"/>
        <v>16.43835616</v>
      </c>
      <c r="M37" s="36">
        <f t="shared" si="17"/>
        <v>18347.76</v>
      </c>
      <c r="N37" s="51">
        <f t="shared" si="7"/>
        <v>440.34624</v>
      </c>
      <c r="O37" s="41">
        <f t="shared" si="8"/>
        <v>200.1765962</v>
      </c>
      <c r="P37" s="42">
        <f t="shared" si="14"/>
        <v>25</v>
      </c>
      <c r="Q37" s="43">
        <f t="shared" si="10"/>
        <v>0</v>
      </c>
    </row>
    <row r="38">
      <c r="A38" s="20">
        <v>1996.0</v>
      </c>
      <c r="B38" s="11" t="s">
        <v>80</v>
      </c>
      <c r="C38" s="48">
        <v>430272.0</v>
      </c>
      <c r="D38" s="48">
        <v>754404.0</v>
      </c>
      <c r="E38" s="33">
        <f t="shared" si="3"/>
        <v>429.4994762</v>
      </c>
      <c r="F38" s="44">
        <f t="shared" si="15"/>
        <v>25000</v>
      </c>
      <c r="G38" s="32">
        <f t="shared" ref="G38:G42" si="18">D38-F38</f>
        <v>729404</v>
      </c>
      <c r="H38" s="34" t="s">
        <v>0</v>
      </c>
      <c r="I38" s="35" t="s">
        <v>74</v>
      </c>
      <c r="J38" s="36">
        <f t="shared" si="5"/>
        <v>18210.88</v>
      </c>
      <c r="K38" s="50">
        <v>1000.0</v>
      </c>
      <c r="L38" s="38">
        <f t="shared" si="16"/>
        <v>16.43835616</v>
      </c>
      <c r="M38" s="36">
        <f t="shared" si="17"/>
        <v>17210.88</v>
      </c>
      <c r="N38" s="51">
        <f t="shared" si="7"/>
        <v>413.06112</v>
      </c>
      <c r="O38" s="41">
        <f t="shared" si="8"/>
        <v>172.8914762</v>
      </c>
      <c r="P38" s="42">
        <f t="shared" si="14"/>
        <v>25</v>
      </c>
      <c r="Q38" s="43">
        <f t="shared" si="10"/>
        <v>754.404</v>
      </c>
    </row>
    <row r="39">
      <c r="A39" s="20">
        <v>1995.0</v>
      </c>
      <c r="B39" s="11"/>
      <c r="C39" s="48">
        <v>425274.0</v>
      </c>
      <c r="D39" s="48">
        <v>735768.0</v>
      </c>
      <c r="E39" s="33">
        <f t="shared" si="3"/>
        <v>424.7013962</v>
      </c>
      <c r="F39" s="44">
        <f t="shared" si="15"/>
        <v>25000</v>
      </c>
      <c r="G39" s="32">
        <f t="shared" si="18"/>
        <v>710768</v>
      </c>
      <c r="H39" s="34" t="s">
        <v>0</v>
      </c>
      <c r="I39" s="35" t="s">
        <v>74</v>
      </c>
      <c r="J39" s="36">
        <f t="shared" si="5"/>
        <v>18010.96</v>
      </c>
      <c r="K39" s="50">
        <v>1000.0</v>
      </c>
      <c r="L39" s="38">
        <f t="shared" si="16"/>
        <v>16.43835616</v>
      </c>
      <c r="M39" s="36">
        <f t="shared" si="17"/>
        <v>17010.96</v>
      </c>
      <c r="N39" s="51">
        <f t="shared" si="7"/>
        <v>408.26304</v>
      </c>
      <c r="O39" s="41">
        <f t="shared" si="8"/>
        <v>168.0933962</v>
      </c>
      <c r="P39" s="42">
        <f t="shared" si="14"/>
        <v>25</v>
      </c>
      <c r="Q39" s="43">
        <f t="shared" si="10"/>
        <v>735.768</v>
      </c>
    </row>
    <row r="40">
      <c r="A40" s="20">
        <v>1994.0</v>
      </c>
      <c r="B40" s="54" t="s">
        <v>81</v>
      </c>
      <c r="C40" s="49">
        <v>418505.0</v>
      </c>
      <c r="D40" s="48">
        <v>748065.0</v>
      </c>
      <c r="E40" s="33">
        <f t="shared" si="3"/>
        <v>456.23424</v>
      </c>
      <c r="F40" s="48">
        <v>56739.0</v>
      </c>
      <c r="G40" s="32">
        <f t="shared" si="18"/>
        <v>691326</v>
      </c>
      <c r="H40" s="34" t="s">
        <v>0</v>
      </c>
      <c r="I40" s="35" t="s">
        <v>74</v>
      </c>
      <c r="J40" s="38">
        <f t="shared" si="5"/>
        <v>19009.76</v>
      </c>
      <c r="K40" s="38">
        <f t="shared" ref="K40:K42" si="19">F40/$C$4</f>
        <v>2269.56</v>
      </c>
      <c r="L40" s="38">
        <f t="shared" ref="L40:L41" si="20">K40/$C$6*$C$7*$C$8</f>
        <v>54.46944</v>
      </c>
      <c r="M40" s="36">
        <f t="shared" ref="M40:M51" si="21">C40/$C$4</f>
        <v>16740.2</v>
      </c>
      <c r="N40" s="40">
        <f t="shared" si="7"/>
        <v>401.7648</v>
      </c>
      <c r="O40" s="41">
        <f t="shared" si="8"/>
        <v>199.62624</v>
      </c>
      <c r="P40" s="42">
        <f t="shared" si="14"/>
        <v>25</v>
      </c>
      <c r="Q40" s="43">
        <f t="shared" si="10"/>
        <v>329.6079416</v>
      </c>
    </row>
    <row r="41">
      <c r="A41" s="20">
        <v>1993.0</v>
      </c>
      <c r="B41" s="11" t="s">
        <v>82</v>
      </c>
      <c r="C41" s="31">
        <v>419230.0</v>
      </c>
      <c r="D41" s="32">
        <f t="shared" ref="D41:D42" si="22">C41*$C$3+$D$3</f>
        <v>678840.0561</v>
      </c>
      <c r="E41" s="33">
        <f t="shared" si="3"/>
        <v>578.76768</v>
      </c>
      <c r="F41" s="48">
        <v>183653.0</v>
      </c>
      <c r="G41" s="32">
        <f t="shared" si="18"/>
        <v>495187.0561</v>
      </c>
      <c r="H41" s="34" t="s">
        <v>65</v>
      </c>
      <c r="I41" s="35">
        <v>30716.0</v>
      </c>
      <c r="J41" s="38">
        <f t="shared" si="5"/>
        <v>24115.32</v>
      </c>
      <c r="K41" s="38">
        <f t="shared" si="19"/>
        <v>7346.12</v>
      </c>
      <c r="L41" s="38">
        <f t="shared" si="20"/>
        <v>176.30688</v>
      </c>
      <c r="M41" s="36">
        <f t="shared" si="21"/>
        <v>16769.2</v>
      </c>
      <c r="N41" s="40">
        <f t="shared" si="7"/>
        <v>402.4608</v>
      </c>
      <c r="O41" s="41">
        <f t="shared" si="8"/>
        <v>322.15968</v>
      </c>
      <c r="P41" s="42">
        <f t="shared" si="14"/>
        <v>25</v>
      </c>
      <c r="Q41" s="43">
        <f t="shared" si="10"/>
        <v>92.40797266</v>
      </c>
    </row>
    <row r="42">
      <c r="A42" s="20">
        <v>1992.0</v>
      </c>
      <c r="B42" s="11"/>
      <c r="C42" s="31">
        <v>403670.0</v>
      </c>
      <c r="D42" s="32">
        <f t="shared" si="22"/>
        <v>653930.0521</v>
      </c>
      <c r="E42" s="33">
        <f t="shared" si="3"/>
        <v>486.153337</v>
      </c>
      <c r="F42" s="56">
        <f>6000*25</f>
        <v>150000</v>
      </c>
      <c r="G42" s="32">
        <f t="shared" si="18"/>
        <v>503930.0521</v>
      </c>
      <c r="H42" s="34" t="s">
        <v>65</v>
      </c>
      <c r="I42" s="35">
        <v>29448.0</v>
      </c>
      <c r="J42" s="38">
        <f t="shared" si="5"/>
        <v>22146.8</v>
      </c>
      <c r="K42" s="38">
        <f t="shared" si="19"/>
        <v>6000</v>
      </c>
      <c r="L42" s="57">
        <f t="shared" ref="L42:L51" si="23">K42/365*2*3</f>
        <v>98.63013699</v>
      </c>
      <c r="M42" s="57">
        <f t="shared" si="21"/>
        <v>16146.8</v>
      </c>
      <c r="N42" s="58">
        <f t="shared" si="7"/>
        <v>387.5232</v>
      </c>
    </row>
    <row r="43">
      <c r="A43" s="20">
        <v>1991.0</v>
      </c>
      <c r="B43" s="20"/>
      <c r="C43" s="31"/>
      <c r="D43" s="53"/>
      <c r="E43" s="59">
        <f t="shared" si="3"/>
        <v>0</v>
      </c>
      <c r="F43" s="34"/>
      <c r="G43" s="34"/>
      <c r="H43" s="34"/>
      <c r="I43" s="34"/>
      <c r="J43" s="57"/>
      <c r="K43" s="38"/>
      <c r="L43" s="57">
        <f t="shared" si="23"/>
        <v>0</v>
      </c>
      <c r="M43" s="57">
        <f t="shared" si="21"/>
        <v>0</v>
      </c>
      <c r="N43" s="58">
        <f t="shared" si="7"/>
        <v>0</v>
      </c>
    </row>
    <row r="44">
      <c r="A44" s="20">
        <v>1990.0</v>
      </c>
      <c r="B44" s="11"/>
      <c r="C44" s="31">
        <v>351419.0</v>
      </c>
      <c r="D44" s="48">
        <v>590810.0</v>
      </c>
      <c r="E44" s="59">
        <f t="shared" si="3"/>
        <v>435.992377</v>
      </c>
      <c r="F44" s="56">
        <f t="shared" ref="F44:F45" si="24">6000*25</f>
        <v>150000</v>
      </c>
      <c r="G44" s="32">
        <f t="shared" ref="G44:G45" si="25">D44-F44</f>
        <v>440810</v>
      </c>
      <c r="H44" s="34" t="s">
        <v>65</v>
      </c>
      <c r="I44" s="35">
        <v>25191.0</v>
      </c>
      <c r="J44" s="38">
        <f t="shared" ref="J44:J45" si="26">K44+M44</f>
        <v>20056.76</v>
      </c>
      <c r="K44" s="38">
        <f t="shared" ref="K44:K45" si="27">F44/$C$4</f>
        <v>6000</v>
      </c>
      <c r="L44" s="57">
        <f t="shared" si="23"/>
        <v>98.63013699</v>
      </c>
      <c r="M44" s="57">
        <f t="shared" si="21"/>
        <v>14056.76</v>
      </c>
      <c r="N44" s="58">
        <f t="shared" si="7"/>
        <v>337.36224</v>
      </c>
    </row>
    <row r="45">
      <c r="A45" s="20">
        <v>1989.0</v>
      </c>
      <c r="B45" s="11"/>
      <c r="C45" s="31">
        <v>350316.0</v>
      </c>
      <c r="D45" s="48">
        <v>624874.0</v>
      </c>
      <c r="E45" s="59">
        <f t="shared" si="3"/>
        <v>434.933497</v>
      </c>
      <c r="F45" s="56">
        <f t="shared" si="24"/>
        <v>150000</v>
      </c>
      <c r="G45" s="32">
        <f t="shared" si="25"/>
        <v>474874</v>
      </c>
      <c r="H45" s="34" t="s">
        <v>65</v>
      </c>
      <c r="I45" s="35">
        <v>25101.0</v>
      </c>
      <c r="J45" s="38">
        <f t="shared" si="26"/>
        <v>20012.64</v>
      </c>
      <c r="K45" s="38">
        <f t="shared" si="27"/>
        <v>6000</v>
      </c>
      <c r="L45" s="57">
        <f t="shared" si="23"/>
        <v>98.63013699</v>
      </c>
      <c r="M45" s="57">
        <f t="shared" si="21"/>
        <v>14012.64</v>
      </c>
      <c r="N45" s="58">
        <f t="shared" si="7"/>
        <v>336.30336</v>
      </c>
    </row>
    <row r="46">
      <c r="A46" s="20">
        <v>1988.0</v>
      </c>
      <c r="B46" s="20"/>
      <c r="C46" s="31"/>
      <c r="D46" s="53"/>
      <c r="E46" s="59">
        <f t="shared" si="3"/>
        <v>0</v>
      </c>
      <c r="F46" s="34"/>
      <c r="G46" s="34"/>
      <c r="H46" s="34"/>
      <c r="I46" s="34"/>
      <c r="J46" s="57"/>
      <c r="K46" s="38"/>
      <c r="L46" s="57">
        <f t="shared" si="23"/>
        <v>0</v>
      </c>
      <c r="M46" s="57">
        <f t="shared" si="21"/>
        <v>0</v>
      </c>
      <c r="N46" s="58">
        <f t="shared" si="7"/>
        <v>0</v>
      </c>
    </row>
    <row r="47">
      <c r="A47" s="20">
        <v>1987.0</v>
      </c>
      <c r="B47" s="11"/>
      <c r="C47" s="31">
        <v>366901.0</v>
      </c>
      <c r="D47" s="48">
        <v>493292.0</v>
      </c>
      <c r="E47" s="59">
        <f t="shared" si="3"/>
        <v>450.855097</v>
      </c>
      <c r="F47" s="56">
        <f t="shared" ref="F47:F51" si="28">6000*25</f>
        <v>150000</v>
      </c>
      <c r="G47" s="32">
        <f t="shared" ref="G47:G51" si="29">D47-F47</f>
        <v>343292</v>
      </c>
      <c r="H47" s="34" t="s">
        <v>65</v>
      </c>
      <c r="I47" s="35">
        <v>26452.0</v>
      </c>
      <c r="J47" s="38">
        <f>K47+M47</f>
        <v>20676.04</v>
      </c>
      <c r="K47" s="38">
        <f t="shared" ref="K47:K51" si="30">F47/$C$4</f>
        <v>6000</v>
      </c>
      <c r="L47" s="57">
        <f t="shared" si="23"/>
        <v>98.63013699</v>
      </c>
      <c r="M47" s="57">
        <f t="shared" si="21"/>
        <v>14676.04</v>
      </c>
      <c r="N47" s="58">
        <f t="shared" si="7"/>
        <v>352.22496</v>
      </c>
    </row>
    <row r="48">
      <c r="A48" s="20">
        <v>1986.0</v>
      </c>
      <c r="B48" s="20"/>
      <c r="C48" s="44">
        <f>D48/C3-D3</f>
        <v>382443.9229</v>
      </c>
      <c r="D48" s="48">
        <v>624573.0</v>
      </c>
      <c r="E48" s="59">
        <f t="shared" si="3"/>
        <v>465.776303</v>
      </c>
      <c r="F48" s="56">
        <f t="shared" si="28"/>
        <v>150000</v>
      </c>
      <c r="G48" s="32">
        <f t="shared" si="29"/>
        <v>474573</v>
      </c>
      <c r="H48" s="34"/>
      <c r="I48" s="34"/>
      <c r="J48" s="57"/>
      <c r="K48" s="38">
        <f t="shared" si="30"/>
        <v>6000</v>
      </c>
      <c r="L48" s="57">
        <f t="shared" si="23"/>
        <v>98.63013699</v>
      </c>
      <c r="M48" s="57">
        <f t="shared" si="21"/>
        <v>15297.75692</v>
      </c>
      <c r="N48" s="58">
        <f t="shared" si="7"/>
        <v>367.146166</v>
      </c>
    </row>
    <row r="49">
      <c r="A49" s="20">
        <v>1985.0</v>
      </c>
      <c r="B49" s="11"/>
      <c r="C49" s="31">
        <v>444808.0</v>
      </c>
      <c r="D49" s="48">
        <v>784705.0</v>
      </c>
      <c r="E49" s="59">
        <f t="shared" si="3"/>
        <v>525.645817</v>
      </c>
      <c r="F49" s="56">
        <f t="shared" si="28"/>
        <v>150000</v>
      </c>
      <c r="G49" s="32">
        <f t="shared" si="29"/>
        <v>634705</v>
      </c>
      <c r="H49" s="34" t="s">
        <v>65</v>
      </c>
      <c r="I49" s="35">
        <v>32800.0</v>
      </c>
      <c r="J49" s="38">
        <f t="shared" ref="J49:J51" si="31">K49+M49</f>
        <v>23792.32</v>
      </c>
      <c r="K49" s="38">
        <f t="shared" si="30"/>
        <v>6000</v>
      </c>
      <c r="L49" s="57">
        <f t="shared" si="23"/>
        <v>98.63013699</v>
      </c>
      <c r="M49" s="57">
        <f t="shared" si="21"/>
        <v>17792.32</v>
      </c>
      <c r="N49" s="58">
        <f t="shared" si="7"/>
        <v>427.01568</v>
      </c>
      <c r="P49" s="42">
        <f t="shared" ref="P49:P50" si="32">C49/M49</f>
        <v>25</v>
      </c>
    </row>
    <row r="50">
      <c r="A50" s="20">
        <v>1984.0</v>
      </c>
      <c r="B50" s="11"/>
      <c r="C50" s="31">
        <v>393478.0</v>
      </c>
      <c r="D50" s="48">
        <v>712760.0</v>
      </c>
      <c r="E50" s="59">
        <f t="shared" si="3"/>
        <v>476.369017</v>
      </c>
      <c r="F50" s="56">
        <f t="shared" si="28"/>
        <v>150000</v>
      </c>
      <c r="G50" s="32">
        <f t="shared" si="29"/>
        <v>562760</v>
      </c>
      <c r="H50" s="34" t="s">
        <v>65</v>
      </c>
      <c r="I50" s="35">
        <v>28618.0</v>
      </c>
      <c r="J50" s="38">
        <f t="shared" si="31"/>
        <v>21739.12</v>
      </c>
      <c r="K50" s="38">
        <f t="shared" si="30"/>
        <v>6000</v>
      </c>
      <c r="L50" s="57">
        <f t="shared" si="23"/>
        <v>98.63013699</v>
      </c>
      <c r="M50" s="57">
        <f t="shared" si="21"/>
        <v>15739.12</v>
      </c>
      <c r="N50" s="58">
        <f t="shared" si="7"/>
        <v>377.73888</v>
      </c>
      <c r="P50" s="42">
        <f t="shared" si="32"/>
        <v>25</v>
      </c>
    </row>
    <row r="51">
      <c r="A51" s="20">
        <v>1983.0</v>
      </c>
      <c r="B51" s="11"/>
      <c r="C51" s="31">
        <v>413300.0</v>
      </c>
      <c r="D51" s="32"/>
      <c r="E51" s="59">
        <f t="shared" si="3"/>
        <v>495.398137</v>
      </c>
      <c r="F51" s="56">
        <f t="shared" si="28"/>
        <v>150000</v>
      </c>
      <c r="G51" s="32">
        <f t="shared" si="29"/>
        <v>-150000</v>
      </c>
      <c r="H51" s="34" t="s">
        <v>65</v>
      </c>
      <c r="I51" s="35">
        <v>30233.0</v>
      </c>
      <c r="J51" s="38">
        <f t="shared" si="31"/>
        <v>22532</v>
      </c>
      <c r="K51" s="38">
        <f t="shared" si="30"/>
        <v>6000</v>
      </c>
      <c r="L51" s="57">
        <f t="shared" si="23"/>
        <v>98.63013699</v>
      </c>
      <c r="M51" s="57">
        <f t="shared" si="21"/>
        <v>16532</v>
      </c>
      <c r="N51" s="58">
        <f t="shared" si="7"/>
        <v>396.768</v>
      </c>
    </row>
    <row r="52">
      <c r="E52" s="14"/>
    </row>
    <row r="53">
      <c r="E53" s="14"/>
    </row>
    <row r="54">
      <c r="E54" s="14"/>
    </row>
    <row r="55">
      <c r="E55" s="14"/>
    </row>
    <row r="56">
      <c r="E56" s="14"/>
    </row>
    <row r="57">
      <c r="E57" s="14"/>
    </row>
    <row r="58">
      <c r="E58" s="14"/>
    </row>
    <row r="59">
      <c r="E59" s="14"/>
    </row>
    <row r="60">
      <c r="E60" s="14"/>
    </row>
    <row r="61">
      <c r="E61" s="14"/>
    </row>
    <row r="62">
      <c r="E62" s="14"/>
    </row>
    <row r="63">
      <c r="E63" s="14"/>
    </row>
    <row r="64">
      <c r="E64" s="14"/>
    </row>
    <row r="65">
      <c r="E65" s="14"/>
    </row>
    <row r="66">
      <c r="E66" s="14"/>
    </row>
    <row r="67">
      <c r="E67" s="14"/>
    </row>
    <row r="68">
      <c r="E68" s="14"/>
    </row>
    <row r="69">
      <c r="E69" s="14"/>
    </row>
    <row r="70">
      <c r="E70" s="14"/>
    </row>
    <row r="71">
      <c r="E71" s="14"/>
    </row>
    <row r="72">
      <c r="E72" s="14"/>
    </row>
    <row r="73">
      <c r="E73" s="14"/>
    </row>
    <row r="74">
      <c r="E74" s="14"/>
    </row>
    <row r="75">
      <c r="E75" s="14"/>
    </row>
    <row r="76">
      <c r="E76" s="14"/>
    </row>
    <row r="77">
      <c r="E77" s="14"/>
    </row>
    <row r="78">
      <c r="E78" s="14"/>
    </row>
    <row r="79">
      <c r="E79" s="14"/>
    </row>
    <row r="80">
      <c r="E80" s="14"/>
    </row>
    <row r="81">
      <c r="E81" s="14"/>
    </row>
    <row r="82">
      <c r="E82" s="14"/>
    </row>
    <row r="83">
      <c r="E83" s="14"/>
    </row>
    <row r="84">
      <c r="E84" s="14"/>
    </row>
    <row r="85">
      <c r="E85" s="14"/>
    </row>
    <row r="86">
      <c r="E86" s="14"/>
    </row>
    <row r="87">
      <c r="E87" s="14"/>
    </row>
    <row r="88">
      <c r="E88" s="14"/>
    </row>
    <row r="89">
      <c r="E89" s="14"/>
    </row>
    <row r="90">
      <c r="E90" s="14"/>
    </row>
    <row r="91">
      <c r="E91" s="14"/>
    </row>
    <row r="92">
      <c r="E92" s="14"/>
    </row>
    <row r="93">
      <c r="E93" s="14"/>
    </row>
    <row r="94">
      <c r="E94" s="14"/>
    </row>
    <row r="95">
      <c r="E95" s="14"/>
    </row>
    <row r="96">
      <c r="E96" s="14"/>
    </row>
    <row r="97">
      <c r="E97" s="14"/>
    </row>
    <row r="98">
      <c r="E98" s="14"/>
    </row>
    <row r="99">
      <c r="E99" s="14"/>
    </row>
    <row r="100">
      <c r="E100" s="14"/>
    </row>
    <row r="101">
      <c r="E101" s="14"/>
    </row>
    <row r="102">
      <c r="E102" s="14"/>
    </row>
    <row r="103">
      <c r="E103" s="14"/>
    </row>
    <row r="104">
      <c r="E104" s="14"/>
    </row>
    <row r="105">
      <c r="E105" s="14"/>
    </row>
    <row r="106">
      <c r="E106" s="14"/>
    </row>
    <row r="107">
      <c r="E107" s="14"/>
    </row>
    <row r="108">
      <c r="E108" s="14"/>
    </row>
    <row r="109">
      <c r="E109" s="14"/>
    </row>
    <row r="110">
      <c r="E110" s="14"/>
    </row>
    <row r="111">
      <c r="E111" s="14"/>
    </row>
    <row r="112">
      <c r="E112" s="14"/>
    </row>
    <row r="113">
      <c r="E113" s="14"/>
    </row>
    <row r="114">
      <c r="E114" s="14"/>
    </row>
    <row r="115">
      <c r="E115" s="14"/>
    </row>
    <row r="116">
      <c r="E116" s="14"/>
    </row>
    <row r="117">
      <c r="E117" s="14"/>
    </row>
    <row r="118">
      <c r="E118" s="14"/>
    </row>
    <row r="119">
      <c r="E119" s="14"/>
    </row>
    <row r="120">
      <c r="E120" s="14"/>
    </row>
    <row r="121">
      <c r="E121" s="14"/>
    </row>
    <row r="122">
      <c r="E122" s="14"/>
    </row>
    <row r="123">
      <c r="E123" s="14"/>
    </row>
    <row r="124">
      <c r="E124" s="14"/>
    </row>
    <row r="125">
      <c r="E125" s="14"/>
    </row>
    <row r="126">
      <c r="E126" s="14"/>
    </row>
    <row r="127">
      <c r="E127" s="14"/>
    </row>
    <row r="128">
      <c r="E128" s="14"/>
    </row>
    <row r="129">
      <c r="E129" s="14"/>
    </row>
    <row r="130">
      <c r="E130" s="14"/>
    </row>
    <row r="131">
      <c r="E131" s="14"/>
    </row>
    <row r="132">
      <c r="E132" s="14"/>
    </row>
    <row r="133">
      <c r="E133" s="14"/>
    </row>
    <row r="134">
      <c r="E134" s="14"/>
    </row>
    <row r="135">
      <c r="E135" s="14"/>
    </row>
    <row r="136">
      <c r="E136" s="14"/>
    </row>
    <row r="137">
      <c r="E137" s="14"/>
    </row>
    <row r="138">
      <c r="E138" s="14"/>
    </row>
    <row r="139">
      <c r="E139" s="14"/>
    </row>
    <row r="140">
      <c r="E140" s="14"/>
    </row>
    <row r="141">
      <c r="E141" s="14"/>
    </row>
    <row r="142">
      <c r="E142" s="14"/>
    </row>
    <row r="143">
      <c r="E143" s="14"/>
    </row>
    <row r="144">
      <c r="E144" s="14"/>
    </row>
    <row r="145">
      <c r="E145" s="14"/>
    </row>
    <row r="146">
      <c r="E146" s="14"/>
    </row>
    <row r="147">
      <c r="E147" s="14"/>
    </row>
    <row r="148">
      <c r="E148" s="14"/>
    </row>
    <row r="149">
      <c r="E149" s="14"/>
    </row>
    <row r="150">
      <c r="E150" s="14"/>
    </row>
    <row r="151">
      <c r="E151" s="14"/>
    </row>
    <row r="152">
      <c r="E152" s="14"/>
    </row>
    <row r="153">
      <c r="E153" s="14"/>
    </row>
    <row r="154">
      <c r="E154" s="14"/>
    </row>
    <row r="155">
      <c r="E155" s="14"/>
    </row>
    <row r="156">
      <c r="E156" s="14"/>
    </row>
    <row r="157">
      <c r="E157" s="14"/>
    </row>
    <row r="158">
      <c r="E158" s="14"/>
    </row>
    <row r="159">
      <c r="E159" s="14"/>
    </row>
    <row r="160">
      <c r="E160" s="14"/>
    </row>
    <row r="161">
      <c r="E161" s="14"/>
    </row>
    <row r="162">
      <c r="E162" s="14"/>
    </row>
    <row r="163">
      <c r="E163" s="14"/>
    </row>
    <row r="164">
      <c r="E164" s="14"/>
    </row>
    <row r="165">
      <c r="E165" s="14"/>
    </row>
    <row r="166">
      <c r="E166" s="14"/>
    </row>
    <row r="167">
      <c r="E167" s="14"/>
    </row>
    <row r="168">
      <c r="E168" s="14"/>
    </row>
    <row r="169">
      <c r="E169" s="14"/>
    </row>
    <row r="170">
      <c r="E170" s="14"/>
    </row>
    <row r="171">
      <c r="E171" s="14"/>
    </row>
    <row r="172">
      <c r="E172" s="14"/>
    </row>
    <row r="173">
      <c r="E173" s="14"/>
    </row>
    <row r="174">
      <c r="E174" s="14"/>
    </row>
    <row r="175">
      <c r="E175" s="14"/>
    </row>
    <row r="176">
      <c r="E176" s="14"/>
    </row>
    <row r="177">
      <c r="E177" s="14"/>
    </row>
    <row r="178">
      <c r="E178" s="14"/>
    </row>
    <row r="179">
      <c r="E179" s="14"/>
    </row>
    <row r="180">
      <c r="E180" s="14"/>
    </row>
    <row r="181">
      <c r="E181" s="14"/>
    </row>
    <row r="182">
      <c r="E182" s="14"/>
    </row>
    <row r="183">
      <c r="E183" s="14"/>
    </row>
    <row r="184">
      <c r="E184" s="14"/>
    </row>
    <row r="185">
      <c r="E185" s="14"/>
    </row>
    <row r="186">
      <c r="E186" s="14"/>
    </row>
    <row r="187">
      <c r="E187" s="14"/>
    </row>
    <row r="188">
      <c r="E188" s="14"/>
    </row>
    <row r="189">
      <c r="E189" s="14"/>
    </row>
    <row r="190">
      <c r="E190" s="14"/>
    </row>
    <row r="191">
      <c r="E191" s="14"/>
    </row>
    <row r="192">
      <c r="E192" s="14"/>
    </row>
    <row r="193">
      <c r="E193" s="14"/>
    </row>
    <row r="194">
      <c r="E194" s="14"/>
    </row>
    <row r="195">
      <c r="E195" s="14"/>
    </row>
    <row r="196">
      <c r="E196" s="14"/>
    </row>
    <row r="197">
      <c r="E197" s="14"/>
    </row>
    <row r="198">
      <c r="E198" s="14"/>
    </row>
    <row r="199">
      <c r="E199" s="14"/>
    </row>
    <row r="200">
      <c r="E200" s="14"/>
    </row>
    <row r="201">
      <c r="E201" s="14"/>
    </row>
    <row r="202">
      <c r="E202" s="14"/>
    </row>
    <row r="203">
      <c r="E203" s="14"/>
    </row>
    <row r="204">
      <c r="E204" s="14"/>
    </row>
    <row r="205">
      <c r="E205" s="14"/>
    </row>
    <row r="206">
      <c r="E206" s="14"/>
    </row>
    <row r="207">
      <c r="E207" s="14"/>
    </row>
    <row r="208">
      <c r="E208" s="14"/>
    </row>
    <row r="209">
      <c r="E209" s="14"/>
    </row>
    <row r="210">
      <c r="E210" s="14"/>
    </row>
    <row r="211">
      <c r="E211" s="14"/>
    </row>
    <row r="212">
      <c r="E212" s="14"/>
    </row>
    <row r="213">
      <c r="E213" s="14"/>
    </row>
    <row r="214">
      <c r="E214" s="14"/>
    </row>
    <row r="215">
      <c r="E215" s="14"/>
    </row>
    <row r="216">
      <c r="E216" s="14"/>
    </row>
    <row r="217">
      <c r="E217" s="14"/>
    </row>
    <row r="218">
      <c r="E218" s="14"/>
    </row>
    <row r="219">
      <c r="E219" s="14"/>
    </row>
    <row r="220">
      <c r="E220" s="14"/>
    </row>
    <row r="221">
      <c r="E221" s="14"/>
    </row>
    <row r="222">
      <c r="E222" s="14"/>
    </row>
    <row r="223">
      <c r="E223" s="14"/>
    </row>
    <row r="224">
      <c r="E224" s="14"/>
    </row>
    <row r="225">
      <c r="E225" s="14"/>
    </row>
    <row r="226">
      <c r="E226" s="14"/>
    </row>
    <row r="227">
      <c r="E227" s="14"/>
    </row>
    <row r="228">
      <c r="E228" s="14"/>
    </row>
    <row r="229">
      <c r="E229" s="14"/>
    </row>
    <row r="230">
      <c r="E230" s="14"/>
    </row>
    <row r="231">
      <c r="E231" s="14"/>
    </row>
    <row r="232">
      <c r="E232" s="14"/>
    </row>
    <row r="233">
      <c r="E233" s="14"/>
    </row>
    <row r="234">
      <c r="E234" s="14"/>
    </row>
    <row r="235">
      <c r="E235" s="14"/>
    </row>
    <row r="236">
      <c r="E236" s="14"/>
    </row>
    <row r="237">
      <c r="E237" s="14"/>
    </row>
    <row r="238">
      <c r="E238" s="14"/>
    </row>
    <row r="239">
      <c r="E239" s="14"/>
    </row>
    <row r="240">
      <c r="E240" s="14"/>
    </row>
    <row r="241">
      <c r="E241" s="14"/>
    </row>
    <row r="242">
      <c r="E242" s="14"/>
    </row>
    <row r="243">
      <c r="E243" s="14"/>
    </row>
    <row r="244">
      <c r="E244" s="14"/>
    </row>
    <row r="245">
      <c r="E245" s="14"/>
    </row>
    <row r="246">
      <c r="E246" s="14"/>
    </row>
    <row r="247">
      <c r="E247" s="14"/>
    </row>
    <row r="248">
      <c r="E248" s="14"/>
    </row>
    <row r="249">
      <c r="E249" s="14"/>
    </row>
    <row r="250">
      <c r="E250" s="14"/>
    </row>
    <row r="251">
      <c r="E251" s="14"/>
    </row>
    <row r="252">
      <c r="E252" s="14"/>
    </row>
    <row r="253">
      <c r="E253" s="14"/>
    </row>
    <row r="254">
      <c r="E254" s="14"/>
    </row>
    <row r="255">
      <c r="E255" s="14"/>
    </row>
    <row r="256">
      <c r="E256" s="14"/>
    </row>
    <row r="257">
      <c r="E257" s="14"/>
    </row>
    <row r="258">
      <c r="E258" s="14"/>
    </row>
    <row r="259">
      <c r="E259" s="14"/>
    </row>
    <row r="260">
      <c r="E260" s="14"/>
    </row>
    <row r="261">
      <c r="E261" s="14"/>
    </row>
    <row r="262">
      <c r="E262" s="14"/>
    </row>
    <row r="263">
      <c r="E263" s="14"/>
    </row>
    <row r="264">
      <c r="E264" s="14"/>
    </row>
    <row r="265">
      <c r="E265" s="14"/>
    </row>
    <row r="266">
      <c r="E266" s="14"/>
    </row>
    <row r="267">
      <c r="E267" s="14"/>
    </row>
    <row r="268">
      <c r="E268" s="14"/>
    </row>
    <row r="269">
      <c r="E269" s="14"/>
    </row>
    <row r="270">
      <c r="E270" s="14"/>
    </row>
    <row r="271">
      <c r="E271" s="14"/>
    </row>
    <row r="272">
      <c r="E272" s="14"/>
    </row>
    <row r="273">
      <c r="E273" s="14"/>
    </row>
    <row r="274">
      <c r="E274" s="14"/>
    </row>
    <row r="275">
      <c r="E275" s="14"/>
    </row>
    <row r="276">
      <c r="E276" s="14"/>
    </row>
    <row r="277">
      <c r="E277" s="14"/>
    </row>
    <row r="278">
      <c r="E278" s="14"/>
    </row>
    <row r="279">
      <c r="E279" s="14"/>
    </row>
    <row r="280">
      <c r="E280" s="14"/>
    </row>
    <row r="281">
      <c r="E281" s="14"/>
    </row>
    <row r="282">
      <c r="E282" s="14"/>
    </row>
    <row r="283">
      <c r="E283" s="14"/>
    </row>
    <row r="284">
      <c r="E284" s="14"/>
    </row>
    <row r="285">
      <c r="E285" s="14"/>
    </row>
    <row r="286">
      <c r="E286" s="14"/>
    </row>
    <row r="287">
      <c r="E287" s="14"/>
    </row>
    <row r="288">
      <c r="E288" s="14"/>
    </row>
    <row r="289">
      <c r="E289" s="14"/>
    </row>
    <row r="290">
      <c r="E290" s="14"/>
    </row>
    <row r="291">
      <c r="E291" s="14"/>
    </row>
    <row r="292">
      <c r="E292" s="14"/>
    </row>
    <row r="293">
      <c r="E293" s="14"/>
    </row>
    <row r="294">
      <c r="E294" s="14"/>
    </row>
    <row r="295">
      <c r="E295" s="14"/>
    </row>
    <row r="296">
      <c r="E296" s="14"/>
    </row>
    <row r="297">
      <c r="E297" s="14"/>
    </row>
    <row r="298">
      <c r="E298" s="14"/>
    </row>
    <row r="299">
      <c r="E299" s="14"/>
    </row>
    <row r="300">
      <c r="E300" s="14"/>
    </row>
    <row r="301">
      <c r="E301" s="14"/>
    </row>
    <row r="302">
      <c r="E302" s="14"/>
    </row>
    <row r="303">
      <c r="E303" s="14"/>
    </row>
    <row r="304">
      <c r="E304" s="14"/>
    </row>
    <row r="305">
      <c r="E305" s="14"/>
    </row>
    <row r="306">
      <c r="E306" s="14"/>
    </row>
    <row r="307">
      <c r="E307" s="14"/>
    </row>
    <row r="308">
      <c r="E308" s="14"/>
    </row>
    <row r="309">
      <c r="E309" s="14"/>
    </row>
    <row r="310">
      <c r="E310" s="14"/>
    </row>
    <row r="311">
      <c r="E311" s="14"/>
    </row>
    <row r="312">
      <c r="E312" s="14"/>
    </row>
    <row r="313">
      <c r="E313" s="14"/>
    </row>
    <row r="314">
      <c r="E314" s="14"/>
    </row>
    <row r="315">
      <c r="E315" s="14"/>
    </row>
    <row r="316">
      <c r="E316" s="14"/>
    </row>
    <row r="317">
      <c r="E317" s="14"/>
    </row>
    <row r="318">
      <c r="E318" s="14"/>
    </row>
    <row r="319">
      <c r="E319" s="14"/>
    </row>
    <row r="320">
      <c r="E320" s="14"/>
    </row>
    <row r="321">
      <c r="E321" s="14"/>
    </row>
    <row r="322">
      <c r="E322" s="14"/>
    </row>
    <row r="323">
      <c r="E323" s="14"/>
    </row>
    <row r="324">
      <c r="E324" s="14"/>
    </row>
    <row r="325">
      <c r="E325" s="14"/>
    </row>
    <row r="326">
      <c r="E326" s="14"/>
    </row>
    <row r="327">
      <c r="E327" s="14"/>
    </row>
    <row r="328">
      <c r="E328" s="14"/>
    </row>
    <row r="329">
      <c r="E329" s="14"/>
    </row>
    <row r="330">
      <c r="E330" s="14"/>
    </row>
    <row r="331">
      <c r="E331" s="14"/>
    </row>
    <row r="332">
      <c r="E332" s="14"/>
    </row>
    <row r="333">
      <c r="E333" s="14"/>
    </row>
    <row r="334">
      <c r="E334" s="14"/>
    </row>
    <row r="335">
      <c r="E335" s="14"/>
    </row>
    <row r="336">
      <c r="E336" s="14"/>
    </row>
    <row r="337">
      <c r="E337" s="14"/>
    </row>
    <row r="338">
      <c r="E338" s="14"/>
    </row>
    <row r="339">
      <c r="E339" s="14"/>
    </row>
    <row r="340">
      <c r="E340" s="14"/>
    </row>
    <row r="341">
      <c r="E341" s="14"/>
    </row>
    <row r="342">
      <c r="E342" s="14"/>
    </row>
    <row r="343">
      <c r="E343" s="14"/>
    </row>
    <row r="344">
      <c r="E344" s="14"/>
    </row>
    <row r="345">
      <c r="E345" s="14"/>
    </row>
    <row r="346">
      <c r="E346" s="14"/>
    </row>
    <row r="347">
      <c r="E347" s="14"/>
    </row>
    <row r="348">
      <c r="E348" s="14"/>
    </row>
    <row r="349">
      <c r="E349" s="14"/>
    </row>
    <row r="350">
      <c r="E350" s="14"/>
    </row>
    <row r="351">
      <c r="E351" s="14"/>
    </row>
    <row r="352">
      <c r="E352" s="14"/>
    </row>
    <row r="353">
      <c r="E353" s="14"/>
    </row>
    <row r="354">
      <c r="E354" s="14"/>
    </row>
    <row r="355">
      <c r="E355" s="14"/>
    </row>
    <row r="356">
      <c r="E356" s="14"/>
    </row>
    <row r="357">
      <c r="E357" s="14"/>
    </row>
    <row r="358">
      <c r="E358" s="14"/>
    </row>
    <row r="359">
      <c r="E359" s="14"/>
    </row>
    <row r="360">
      <c r="E360" s="14"/>
    </row>
    <row r="361">
      <c r="E361" s="14"/>
    </row>
    <row r="362">
      <c r="E362" s="14"/>
    </row>
    <row r="363">
      <c r="E363" s="14"/>
    </row>
    <row r="364">
      <c r="E364" s="14"/>
    </row>
    <row r="365">
      <c r="E365" s="14"/>
    </row>
    <row r="366">
      <c r="E366" s="14"/>
    </row>
    <row r="367">
      <c r="E367" s="14"/>
    </row>
    <row r="368">
      <c r="E368" s="14"/>
    </row>
    <row r="369">
      <c r="E369" s="14"/>
    </row>
    <row r="370">
      <c r="E370" s="14"/>
    </row>
    <row r="371">
      <c r="E371" s="14"/>
    </row>
    <row r="372">
      <c r="E372" s="14"/>
    </row>
    <row r="373">
      <c r="E373" s="14"/>
    </row>
    <row r="374">
      <c r="E374" s="14"/>
    </row>
    <row r="375">
      <c r="E375" s="14"/>
    </row>
    <row r="376">
      <c r="E376" s="14"/>
    </row>
    <row r="377">
      <c r="E377" s="14"/>
    </row>
    <row r="378">
      <c r="E378" s="14"/>
    </row>
    <row r="379">
      <c r="E379" s="14"/>
    </row>
    <row r="380">
      <c r="E380" s="14"/>
    </row>
    <row r="381">
      <c r="E381" s="14"/>
    </row>
    <row r="382">
      <c r="E382" s="14"/>
    </row>
    <row r="383">
      <c r="E383" s="14"/>
    </row>
    <row r="384">
      <c r="E384" s="14"/>
    </row>
    <row r="385">
      <c r="E385" s="14"/>
    </row>
    <row r="386">
      <c r="E386" s="14"/>
    </row>
    <row r="387">
      <c r="E387" s="14"/>
    </row>
    <row r="388">
      <c r="E388" s="14"/>
    </row>
    <row r="389">
      <c r="E389" s="14"/>
    </row>
    <row r="390">
      <c r="E390" s="14"/>
    </row>
    <row r="391">
      <c r="E391" s="14"/>
    </row>
    <row r="392">
      <c r="E392" s="14"/>
    </row>
    <row r="393">
      <c r="E393" s="14"/>
    </row>
    <row r="394">
      <c r="E394" s="14"/>
    </row>
    <row r="395">
      <c r="E395" s="14"/>
    </row>
    <row r="396">
      <c r="E396" s="14"/>
    </row>
    <row r="397">
      <c r="E397" s="14"/>
    </row>
    <row r="398">
      <c r="E398" s="14"/>
    </row>
    <row r="399">
      <c r="E399" s="14"/>
    </row>
    <row r="400">
      <c r="E400" s="14"/>
    </row>
    <row r="401">
      <c r="E401" s="14"/>
    </row>
    <row r="402">
      <c r="E402" s="14"/>
    </row>
    <row r="403">
      <c r="E403" s="14"/>
    </row>
    <row r="404">
      <c r="E404" s="14"/>
    </row>
    <row r="405">
      <c r="E405" s="14"/>
    </row>
    <row r="406">
      <c r="E406" s="14"/>
    </row>
    <row r="407">
      <c r="E407" s="14"/>
    </row>
    <row r="408">
      <c r="E408" s="14"/>
    </row>
    <row r="409">
      <c r="E409" s="14"/>
    </row>
    <row r="410">
      <c r="E410" s="14"/>
    </row>
    <row r="411">
      <c r="E411" s="14"/>
    </row>
    <row r="412">
      <c r="E412" s="14"/>
    </row>
    <row r="413">
      <c r="E413" s="14"/>
    </row>
    <row r="414">
      <c r="E414" s="14"/>
    </row>
    <row r="415">
      <c r="E415" s="14"/>
    </row>
    <row r="416">
      <c r="E416" s="14"/>
    </row>
    <row r="417">
      <c r="E417" s="14"/>
    </row>
    <row r="418">
      <c r="E418" s="14"/>
    </row>
    <row r="419">
      <c r="E419" s="14"/>
    </row>
    <row r="420">
      <c r="E420" s="14"/>
    </row>
    <row r="421">
      <c r="E421" s="14"/>
    </row>
    <row r="422">
      <c r="E422" s="14"/>
    </row>
    <row r="423">
      <c r="E423" s="14"/>
    </row>
    <row r="424">
      <c r="E424" s="14"/>
    </row>
    <row r="425">
      <c r="E425" s="14"/>
    </row>
    <row r="426">
      <c r="E426" s="14"/>
    </row>
    <row r="427">
      <c r="E427" s="14"/>
    </row>
    <row r="428">
      <c r="E428" s="14"/>
    </row>
    <row r="429">
      <c r="E429" s="14"/>
    </row>
    <row r="430">
      <c r="E430" s="14"/>
    </row>
    <row r="431">
      <c r="E431" s="14"/>
    </row>
    <row r="432">
      <c r="E432" s="14"/>
    </row>
    <row r="433">
      <c r="E433" s="14"/>
    </row>
    <row r="434">
      <c r="E434" s="14"/>
    </row>
    <row r="435">
      <c r="E435" s="14"/>
    </row>
    <row r="436">
      <c r="E436" s="14"/>
    </row>
    <row r="437">
      <c r="E437" s="14"/>
    </row>
    <row r="438">
      <c r="E438" s="14"/>
    </row>
    <row r="439">
      <c r="E439" s="14"/>
    </row>
    <row r="440">
      <c r="E440" s="14"/>
    </row>
    <row r="441">
      <c r="E441" s="14"/>
    </row>
    <row r="442">
      <c r="E442" s="14"/>
    </row>
    <row r="443">
      <c r="E443" s="14"/>
    </row>
    <row r="444">
      <c r="E444" s="14"/>
    </row>
    <row r="445">
      <c r="E445" s="14"/>
    </row>
    <row r="446">
      <c r="E446" s="14"/>
    </row>
    <row r="447">
      <c r="E447" s="14"/>
    </row>
    <row r="448">
      <c r="E448" s="14"/>
    </row>
    <row r="449">
      <c r="E449" s="14"/>
    </row>
    <row r="450">
      <c r="E450" s="14"/>
    </row>
    <row r="451">
      <c r="E451" s="14"/>
    </row>
    <row r="452">
      <c r="E452" s="14"/>
    </row>
    <row r="453">
      <c r="E453" s="14"/>
    </row>
    <row r="454">
      <c r="E454" s="14"/>
    </row>
    <row r="455">
      <c r="E455" s="14"/>
    </row>
    <row r="456">
      <c r="E456" s="14"/>
    </row>
    <row r="457">
      <c r="E457" s="14"/>
    </row>
    <row r="458">
      <c r="E458" s="14"/>
    </row>
    <row r="459">
      <c r="E459" s="14"/>
    </row>
    <row r="460">
      <c r="E460" s="14"/>
    </row>
    <row r="461">
      <c r="E461" s="14"/>
    </row>
    <row r="462">
      <c r="E462" s="14"/>
    </row>
    <row r="463">
      <c r="E463" s="14"/>
    </row>
    <row r="464">
      <c r="E464" s="14"/>
    </row>
    <row r="465">
      <c r="E465" s="14"/>
    </row>
    <row r="466">
      <c r="E466" s="14"/>
    </row>
    <row r="467">
      <c r="E467" s="14"/>
    </row>
    <row r="468">
      <c r="E468" s="14"/>
    </row>
    <row r="469">
      <c r="E469" s="14"/>
    </row>
    <row r="470">
      <c r="E470" s="14"/>
    </row>
    <row r="471">
      <c r="E471" s="14"/>
    </row>
    <row r="472">
      <c r="E472" s="14"/>
    </row>
    <row r="473">
      <c r="E473" s="14"/>
    </row>
    <row r="474">
      <c r="E474" s="14"/>
    </row>
    <row r="475">
      <c r="E475" s="14"/>
    </row>
    <row r="476">
      <c r="E476" s="14"/>
    </row>
    <row r="477">
      <c r="E477" s="14"/>
    </row>
    <row r="478">
      <c r="E478" s="14"/>
    </row>
    <row r="479">
      <c r="E479" s="14"/>
    </row>
    <row r="480">
      <c r="E480" s="14"/>
    </row>
    <row r="481">
      <c r="E481" s="14"/>
    </row>
    <row r="482">
      <c r="E482" s="14"/>
    </row>
    <row r="483">
      <c r="E483" s="14"/>
    </row>
    <row r="484">
      <c r="E484" s="14"/>
    </row>
    <row r="485">
      <c r="E485" s="14"/>
    </row>
    <row r="486">
      <c r="E486" s="14"/>
    </row>
    <row r="487">
      <c r="E487" s="14"/>
    </row>
    <row r="488">
      <c r="E488" s="14"/>
    </row>
    <row r="489">
      <c r="E489" s="14"/>
    </row>
    <row r="490">
      <c r="E490" s="14"/>
    </row>
    <row r="491">
      <c r="E491" s="14"/>
    </row>
    <row r="492">
      <c r="E492" s="14"/>
    </row>
    <row r="493">
      <c r="E493" s="14"/>
    </row>
    <row r="494">
      <c r="E494" s="14"/>
    </row>
    <row r="495">
      <c r="E495" s="14"/>
    </row>
    <row r="496">
      <c r="E496" s="14"/>
    </row>
    <row r="497">
      <c r="E497" s="14"/>
    </row>
    <row r="498">
      <c r="E498" s="14"/>
    </row>
    <row r="499">
      <c r="E499" s="14"/>
    </row>
    <row r="500">
      <c r="E500" s="14"/>
    </row>
    <row r="501">
      <c r="E501" s="14"/>
    </row>
    <row r="502">
      <c r="E502" s="14"/>
    </row>
    <row r="503">
      <c r="E503" s="14"/>
    </row>
    <row r="504">
      <c r="E504" s="14"/>
    </row>
    <row r="505">
      <c r="E505" s="14"/>
    </row>
    <row r="506">
      <c r="E506" s="14"/>
    </row>
    <row r="507">
      <c r="E507" s="14"/>
    </row>
    <row r="508">
      <c r="E508" s="14"/>
    </row>
    <row r="509">
      <c r="E509" s="14"/>
    </row>
    <row r="510">
      <c r="E510" s="14"/>
    </row>
    <row r="511">
      <c r="E511" s="14"/>
    </row>
    <row r="512">
      <c r="E512" s="14"/>
    </row>
    <row r="513">
      <c r="E513" s="14"/>
    </row>
    <row r="514">
      <c r="E514" s="14"/>
    </row>
    <row r="515">
      <c r="E515" s="14"/>
    </row>
    <row r="516">
      <c r="E516" s="14"/>
    </row>
    <row r="517">
      <c r="E517" s="14"/>
    </row>
    <row r="518">
      <c r="E518" s="14"/>
    </row>
    <row r="519">
      <c r="E519" s="14"/>
    </row>
    <row r="520">
      <c r="E520" s="14"/>
    </row>
    <row r="521">
      <c r="E521" s="14"/>
    </row>
    <row r="522">
      <c r="E522" s="14"/>
    </row>
    <row r="523">
      <c r="E523" s="14"/>
    </row>
    <row r="524">
      <c r="E524" s="14"/>
    </row>
    <row r="525">
      <c r="E525" s="14"/>
    </row>
    <row r="526">
      <c r="E526" s="14"/>
    </row>
    <row r="527">
      <c r="E527" s="14"/>
    </row>
    <row r="528">
      <c r="E528" s="14"/>
    </row>
    <row r="529">
      <c r="E529" s="14"/>
    </row>
    <row r="530">
      <c r="E530" s="14"/>
    </row>
    <row r="531">
      <c r="E531" s="14"/>
    </row>
    <row r="532">
      <c r="E532" s="14"/>
    </row>
    <row r="533">
      <c r="E533" s="14"/>
    </row>
    <row r="534">
      <c r="E534" s="14"/>
    </row>
    <row r="535">
      <c r="E535" s="14"/>
    </row>
    <row r="536">
      <c r="E536" s="14"/>
    </row>
    <row r="537">
      <c r="E537" s="14"/>
    </row>
    <row r="538">
      <c r="E538" s="14"/>
    </row>
    <row r="539">
      <c r="E539" s="14"/>
    </row>
    <row r="540">
      <c r="E540" s="14"/>
    </row>
    <row r="541">
      <c r="E541" s="14"/>
    </row>
    <row r="542">
      <c r="E542" s="14"/>
    </row>
    <row r="543">
      <c r="E543" s="14"/>
    </row>
    <row r="544">
      <c r="E544" s="14"/>
    </row>
    <row r="545">
      <c r="E545" s="14"/>
    </row>
    <row r="546">
      <c r="E546" s="14"/>
    </row>
    <row r="547">
      <c r="E547" s="14"/>
    </row>
    <row r="548">
      <c r="E548" s="14"/>
    </row>
    <row r="549">
      <c r="E549" s="14"/>
    </row>
    <row r="550">
      <c r="E550" s="14"/>
    </row>
    <row r="551">
      <c r="E551" s="14"/>
    </row>
    <row r="552">
      <c r="E552" s="14"/>
    </row>
    <row r="553">
      <c r="E553" s="14"/>
    </row>
    <row r="554">
      <c r="E554" s="14"/>
    </row>
    <row r="555">
      <c r="E555" s="14"/>
    </row>
    <row r="556">
      <c r="E556" s="14"/>
    </row>
    <row r="557">
      <c r="E557" s="14"/>
    </row>
    <row r="558">
      <c r="E558" s="14"/>
    </row>
    <row r="559">
      <c r="E559" s="14"/>
    </row>
    <row r="560">
      <c r="E560" s="14"/>
    </row>
    <row r="561">
      <c r="E561" s="14"/>
    </row>
    <row r="562">
      <c r="E562" s="14"/>
    </row>
    <row r="563">
      <c r="E563" s="14"/>
    </row>
    <row r="564">
      <c r="E564" s="14"/>
    </row>
    <row r="565">
      <c r="E565" s="14"/>
    </row>
    <row r="566">
      <c r="E566" s="14"/>
    </row>
    <row r="567">
      <c r="E567" s="14"/>
    </row>
    <row r="568">
      <c r="E568" s="14"/>
    </row>
    <row r="569">
      <c r="E569" s="14"/>
    </row>
    <row r="570">
      <c r="E570" s="14"/>
    </row>
    <row r="571">
      <c r="E571" s="14"/>
    </row>
    <row r="572">
      <c r="E572" s="14"/>
    </row>
    <row r="573">
      <c r="E573" s="14"/>
    </row>
    <row r="574">
      <c r="E574" s="14"/>
    </row>
    <row r="575">
      <c r="E575" s="14"/>
    </row>
    <row r="576">
      <c r="E576" s="14"/>
    </row>
    <row r="577">
      <c r="E577" s="14"/>
    </row>
    <row r="578">
      <c r="E578" s="14"/>
    </row>
    <row r="579">
      <c r="E579" s="14"/>
    </row>
    <row r="580">
      <c r="E580" s="14"/>
    </row>
    <row r="581">
      <c r="E581" s="14"/>
    </row>
    <row r="582">
      <c r="E582" s="14"/>
    </row>
    <row r="583">
      <c r="E583" s="14"/>
    </row>
    <row r="584">
      <c r="E584" s="14"/>
    </row>
    <row r="585">
      <c r="E585" s="14"/>
    </row>
    <row r="586">
      <c r="E586" s="14"/>
    </row>
    <row r="587">
      <c r="E587" s="14"/>
    </row>
    <row r="588">
      <c r="E588" s="14"/>
    </row>
    <row r="589">
      <c r="E589" s="14"/>
    </row>
    <row r="590">
      <c r="E590" s="14"/>
    </row>
    <row r="591">
      <c r="E591" s="14"/>
    </row>
    <row r="592">
      <c r="E592" s="14"/>
    </row>
    <row r="593">
      <c r="E593" s="14"/>
    </row>
    <row r="594">
      <c r="E594" s="14"/>
    </row>
    <row r="595">
      <c r="E595" s="14"/>
    </row>
    <row r="596">
      <c r="E596" s="14"/>
    </row>
    <row r="597">
      <c r="E597" s="14"/>
    </row>
    <row r="598">
      <c r="E598" s="14"/>
    </row>
    <row r="599">
      <c r="E599" s="14"/>
    </row>
    <row r="600">
      <c r="E600" s="14"/>
    </row>
    <row r="601">
      <c r="E601" s="14"/>
    </row>
    <row r="602">
      <c r="E602" s="14"/>
    </row>
    <row r="603">
      <c r="E603" s="14"/>
    </row>
    <row r="604">
      <c r="E604" s="14"/>
    </row>
    <row r="605">
      <c r="E605" s="14"/>
    </row>
    <row r="606">
      <c r="E606" s="14"/>
    </row>
    <row r="607">
      <c r="E607" s="14"/>
    </row>
    <row r="608">
      <c r="E608" s="14"/>
    </row>
    <row r="609">
      <c r="E609" s="14"/>
    </row>
    <row r="610">
      <c r="E610" s="14"/>
    </row>
    <row r="611">
      <c r="E611" s="14"/>
    </row>
    <row r="612">
      <c r="E612" s="14"/>
    </row>
    <row r="613">
      <c r="E613" s="14"/>
    </row>
    <row r="614">
      <c r="E614" s="14"/>
    </row>
    <row r="615">
      <c r="E615" s="14"/>
    </row>
    <row r="616">
      <c r="E616" s="14"/>
    </row>
    <row r="617">
      <c r="E617" s="14"/>
    </row>
    <row r="618">
      <c r="E618" s="14"/>
    </row>
    <row r="619">
      <c r="E619" s="14"/>
    </row>
    <row r="620">
      <c r="E620" s="14"/>
    </row>
    <row r="621">
      <c r="E621" s="14"/>
    </row>
    <row r="622">
      <c r="E622" s="14"/>
    </row>
    <row r="623">
      <c r="E623" s="14"/>
    </row>
    <row r="624">
      <c r="E624" s="14"/>
    </row>
    <row r="625">
      <c r="E625" s="14"/>
    </row>
    <row r="626">
      <c r="E626" s="14"/>
    </row>
    <row r="627">
      <c r="E627" s="14"/>
    </row>
    <row r="628">
      <c r="E628" s="14"/>
    </row>
    <row r="629">
      <c r="E629" s="14"/>
    </row>
    <row r="630">
      <c r="E630" s="14"/>
    </row>
    <row r="631">
      <c r="E631" s="14"/>
    </row>
    <row r="632">
      <c r="E632" s="14"/>
    </row>
    <row r="633">
      <c r="E633" s="14"/>
    </row>
    <row r="634">
      <c r="E634" s="14"/>
    </row>
    <row r="635">
      <c r="E635" s="14"/>
    </row>
    <row r="636">
      <c r="E636" s="14"/>
    </row>
    <row r="637">
      <c r="E637" s="14"/>
    </row>
    <row r="638">
      <c r="E638" s="14"/>
    </row>
    <row r="639">
      <c r="E639" s="14"/>
    </row>
    <row r="640">
      <c r="E640" s="14"/>
    </row>
    <row r="641">
      <c r="E641" s="14"/>
    </row>
    <row r="642">
      <c r="E642" s="14"/>
    </row>
    <row r="643">
      <c r="E643" s="14"/>
    </row>
    <row r="644">
      <c r="E644" s="14"/>
    </row>
    <row r="645">
      <c r="E645" s="14"/>
    </row>
    <row r="646">
      <c r="E646" s="14"/>
    </row>
    <row r="647">
      <c r="E647" s="14"/>
    </row>
    <row r="648">
      <c r="E648" s="14"/>
    </row>
    <row r="649">
      <c r="E649" s="14"/>
    </row>
    <row r="650">
      <c r="E650" s="14"/>
    </row>
    <row r="651">
      <c r="E651" s="14"/>
    </row>
    <row r="652">
      <c r="E652" s="14"/>
    </row>
    <row r="653">
      <c r="E653" s="14"/>
    </row>
    <row r="654">
      <c r="E654" s="14"/>
    </row>
    <row r="655">
      <c r="E655" s="14"/>
    </row>
    <row r="656">
      <c r="E656" s="14"/>
    </row>
    <row r="657">
      <c r="E657" s="14"/>
    </row>
    <row r="658">
      <c r="E658" s="14"/>
    </row>
    <row r="659">
      <c r="E659" s="14"/>
    </row>
    <row r="660">
      <c r="E660" s="14"/>
    </row>
    <row r="661">
      <c r="E661" s="14"/>
    </row>
    <row r="662">
      <c r="E662" s="14"/>
    </row>
    <row r="663">
      <c r="E663" s="14"/>
    </row>
    <row r="664">
      <c r="E664" s="14"/>
    </row>
    <row r="665">
      <c r="E665" s="14"/>
    </row>
    <row r="666">
      <c r="E666" s="14"/>
    </row>
    <row r="667">
      <c r="E667" s="14"/>
    </row>
    <row r="668">
      <c r="E668" s="14"/>
    </row>
    <row r="669">
      <c r="E669" s="14"/>
    </row>
    <row r="670">
      <c r="E670" s="14"/>
    </row>
    <row r="671">
      <c r="E671" s="14"/>
    </row>
    <row r="672">
      <c r="E672" s="14"/>
    </row>
    <row r="673">
      <c r="E673" s="14"/>
    </row>
    <row r="674">
      <c r="E674" s="14"/>
    </row>
    <row r="675">
      <c r="E675" s="14"/>
    </row>
    <row r="676">
      <c r="E676" s="14"/>
    </row>
    <row r="677">
      <c r="E677" s="14"/>
    </row>
    <row r="678">
      <c r="E678" s="14"/>
    </row>
    <row r="679">
      <c r="E679" s="14"/>
    </row>
    <row r="680">
      <c r="E680" s="14"/>
    </row>
    <row r="681">
      <c r="E681" s="14"/>
    </row>
    <row r="682">
      <c r="E682" s="14"/>
    </row>
    <row r="683">
      <c r="E683" s="14"/>
    </row>
    <row r="684">
      <c r="E684" s="14"/>
    </row>
    <row r="685">
      <c r="E685" s="14"/>
    </row>
    <row r="686">
      <c r="E686" s="14"/>
    </row>
    <row r="687">
      <c r="E687" s="14"/>
    </row>
    <row r="688">
      <c r="E688" s="14"/>
    </row>
    <row r="689">
      <c r="E689" s="14"/>
    </row>
    <row r="690">
      <c r="E690" s="14"/>
    </row>
    <row r="691">
      <c r="E691" s="14"/>
    </row>
    <row r="692">
      <c r="E692" s="14"/>
    </row>
    <row r="693">
      <c r="E693" s="14"/>
    </row>
    <row r="694">
      <c r="E694" s="14"/>
    </row>
    <row r="695">
      <c r="E695" s="14"/>
    </row>
    <row r="696">
      <c r="E696" s="14"/>
    </row>
    <row r="697">
      <c r="E697" s="14"/>
    </row>
    <row r="698">
      <c r="E698" s="14"/>
    </row>
    <row r="699">
      <c r="E699" s="14"/>
    </row>
    <row r="700">
      <c r="E700" s="14"/>
    </row>
    <row r="701">
      <c r="E701" s="14"/>
    </row>
    <row r="702">
      <c r="E702" s="14"/>
    </row>
    <row r="703">
      <c r="E703" s="14"/>
    </row>
    <row r="704">
      <c r="E704" s="14"/>
    </row>
    <row r="705">
      <c r="E705" s="14"/>
    </row>
    <row r="706">
      <c r="E706" s="14"/>
    </row>
    <row r="707">
      <c r="E707" s="14"/>
    </row>
    <row r="708">
      <c r="E708" s="14"/>
    </row>
    <row r="709">
      <c r="E709" s="14"/>
    </row>
    <row r="710">
      <c r="E710" s="14"/>
    </row>
    <row r="711">
      <c r="E711" s="14"/>
    </row>
    <row r="712">
      <c r="E712" s="14"/>
    </row>
    <row r="713">
      <c r="E713" s="14"/>
    </row>
    <row r="714">
      <c r="E714" s="14"/>
    </row>
    <row r="715">
      <c r="E715" s="14"/>
    </row>
    <row r="716">
      <c r="E716" s="14"/>
    </row>
    <row r="717">
      <c r="E717" s="14"/>
    </row>
    <row r="718">
      <c r="E718" s="14"/>
    </row>
    <row r="719">
      <c r="E719" s="14"/>
    </row>
    <row r="720">
      <c r="E720" s="14"/>
    </row>
    <row r="721">
      <c r="E721" s="14"/>
    </row>
    <row r="722">
      <c r="E722" s="14"/>
    </row>
    <row r="723">
      <c r="E723" s="14"/>
    </row>
    <row r="724">
      <c r="E724" s="14"/>
    </row>
    <row r="725">
      <c r="E725" s="14"/>
    </row>
    <row r="726">
      <c r="E726" s="14"/>
    </row>
    <row r="727">
      <c r="E727" s="14"/>
    </row>
    <row r="728">
      <c r="E728" s="14"/>
    </row>
    <row r="729">
      <c r="E729" s="14"/>
    </row>
    <row r="730">
      <c r="E730" s="14"/>
    </row>
    <row r="731">
      <c r="E731" s="14"/>
    </row>
    <row r="732">
      <c r="E732" s="14"/>
    </row>
    <row r="733">
      <c r="E733" s="14"/>
    </row>
    <row r="734">
      <c r="E734" s="14"/>
    </row>
    <row r="735">
      <c r="E735" s="14"/>
    </row>
    <row r="736">
      <c r="E736" s="14"/>
    </row>
    <row r="737">
      <c r="E737" s="14"/>
    </row>
    <row r="738">
      <c r="E738" s="14"/>
    </row>
    <row r="739">
      <c r="E739" s="14"/>
    </row>
    <row r="740">
      <c r="E740" s="14"/>
    </row>
    <row r="741">
      <c r="E741" s="14"/>
    </row>
    <row r="742">
      <c r="E742" s="14"/>
    </row>
    <row r="743">
      <c r="E743" s="14"/>
    </row>
    <row r="744">
      <c r="E744" s="14"/>
    </row>
    <row r="745">
      <c r="E745" s="14"/>
    </row>
    <row r="746">
      <c r="E746" s="14"/>
    </row>
    <row r="747">
      <c r="E747" s="14"/>
    </row>
    <row r="748">
      <c r="E748" s="14"/>
    </row>
    <row r="749">
      <c r="E749" s="14"/>
    </row>
    <row r="750">
      <c r="E750" s="14"/>
    </row>
    <row r="751">
      <c r="E751" s="14"/>
    </row>
    <row r="752">
      <c r="E752" s="14"/>
    </row>
    <row r="753">
      <c r="E753" s="14"/>
    </row>
    <row r="754">
      <c r="E754" s="14"/>
    </row>
    <row r="755">
      <c r="E755" s="14"/>
    </row>
    <row r="756">
      <c r="E756" s="14"/>
    </row>
    <row r="757">
      <c r="E757" s="14"/>
    </row>
    <row r="758">
      <c r="E758" s="14"/>
    </row>
    <row r="759">
      <c r="E759" s="14"/>
    </row>
    <row r="760">
      <c r="E760" s="14"/>
    </row>
    <row r="761">
      <c r="E761" s="14"/>
    </row>
    <row r="762">
      <c r="E762" s="14"/>
    </row>
    <row r="763">
      <c r="E763" s="14"/>
    </row>
    <row r="764">
      <c r="E764" s="14"/>
    </row>
    <row r="765">
      <c r="E765" s="14"/>
    </row>
    <row r="766">
      <c r="E766" s="14"/>
    </row>
    <row r="767">
      <c r="E767" s="14"/>
    </row>
    <row r="768">
      <c r="E768" s="14"/>
    </row>
    <row r="769">
      <c r="E769" s="14"/>
    </row>
    <row r="770">
      <c r="E770" s="14"/>
    </row>
    <row r="771">
      <c r="E771" s="14"/>
    </row>
    <row r="772">
      <c r="E772" s="14"/>
    </row>
    <row r="773">
      <c r="E773" s="14"/>
    </row>
    <row r="774">
      <c r="E774" s="14"/>
    </row>
    <row r="775">
      <c r="E775" s="14"/>
    </row>
    <row r="776">
      <c r="E776" s="14"/>
    </row>
    <row r="777">
      <c r="E777" s="14"/>
    </row>
    <row r="778">
      <c r="E778" s="14"/>
    </row>
    <row r="779">
      <c r="E779" s="14"/>
    </row>
    <row r="780">
      <c r="E780" s="14"/>
    </row>
    <row r="781">
      <c r="E781" s="14"/>
    </row>
    <row r="782">
      <c r="E782" s="14"/>
    </row>
    <row r="783">
      <c r="E783" s="14"/>
    </row>
    <row r="784">
      <c r="E784" s="14"/>
    </row>
    <row r="785">
      <c r="E785" s="14"/>
    </row>
    <row r="786">
      <c r="E786" s="14"/>
    </row>
    <row r="787">
      <c r="E787" s="14"/>
    </row>
    <row r="788">
      <c r="E788" s="14"/>
    </row>
    <row r="789">
      <c r="E789" s="14"/>
    </row>
    <row r="790">
      <c r="E790" s="14"/>
    </row>
    <row r="791">
      <c r="E791" s="14"/>
    </row>
    <row r="792">
      <c r="E792" s="14"/>
    </row>
    <row r="793">
      <c r="E793" s="14"/>
    </row>
    <row r="794">
      <c r="E794" s="14"/>
    </row>
    <row r="795">
      <c r="E795" s="14"/>
    </row>
    <row r="796">
      <c r="E796" s="14"/>
    </row>
    <row r="797">
      <c r="E797" s="14"/>
    </row>
    <row r="798">
      <c r="E798" s="14"/>
    </row>
    <row r="799">
      <c r="E799" s="14"/>
    </row>
    <row r="800">
      <c r="E800" s="14"/>
    </row>
    <row r="801">
      <c r="E801" s="14"/>
    </row>
    <row r="802">
      <c r="E802" s="14"/>
    </row>
    <row r="803">
      <c r="E803" s="14"/>
    </row>
    <row r="804">
      <c r="E804" s="14"/>
    </row>
    <row r="805">
      <c r="E805" s="14"/>
    </row>
    <row r="806">
      <c r="E806" s="14"/>
    </row>
    <row r="807">
      <c r="E807" s="14"/>
    </row>
    <row r="808">
      <c r="E808" s="14"/>
    </row>
    <row r="809">
      <c r="E809" s="14"/>
    </row>
    <row r="810">
      <c r="E810" s="14"/>
    </row>
    <row r="811">
      <c r="E811" s="14"/>
    </row>
    <row r="812">
      <c r="E812" s="14"/>
    </row>
    <row r="813">
      <c r="E813" s="14"/>
    </row>
    <row r="814">
      <c r="E814" s="14"/>
    </row>
    <row r="815">
      <c r="E815" s="14"/>
    </row>
    <row r="816">
      <c r="E816" s="14"/>
    </row>
    <row r="817">
      <c r="E817" s="14"/>
    </row>
    <row r="818">
      <c r="E818" s="14"/>
    </row>
    <row r="819">
      <c r="E819" s="14"/>
    </row>
    <row r="820">
      <c r="E820" s="14"/>
    </row>
    <row r="821">
      <c r="E821" s="14"/>
    </row>
    <row r="822">
      <c r="E822" s="14"/>
    </row>
    <row r="823">
      <c r="E823" s="14"/>
    </row>
    <row r="824">
      <c r="E824" s="14"/>
    </row>
    <row r="825">
      <c r="E825" s="14"/>
    </row>
    <row r="826">
      <c r="E826" s="14"/>
    </row>
    <row r="827">
      <c r="E827" s="14"/>
    </row>
    <row r="828">
      <c r="E828" s="14"/>
    </row>
    <row r="829">
      <c r="E829" s="14"/>
    </row>
    <row r="830">
      <c r="E830" s="14"/>
    </row>
    <row r="831">
      <c r="E831" s="14"/>
    </row>
    <row r="832">
      <c r="E832" s="14"/>
    </row>
    <row r="833">
      <c r="E833" s="14"/>
    </row>
    <row r="834">
      <c r="E834" s="14"/>
    </row>
    <row r="835">
      <c r="E835" s="14"/>
    </row>
    <row r="836">
      <c r="E836" s="14"/>
    </row>
    <row r="837">
      <c r="E837" s="14"/>
    </row>
    <row r="838">
      <c r="E838" s="14"/>
    </row>
    <row r="839">
      <c r="E839" s="14"/>
    </row>
    <row r="840">
      <c r="E840" s="14"/>
    </row>
    <row r="841">
      <c r="E841" s="14"/>
    </row>
    <row r="842">
      <c r="E842" s="14"/>
    </row>
    <row r="843">
      <c r="E843" s="14"/>
    </row>
    <row r="844">
      <c r="E844" s="14"/>
    </row>
    <row r="845">
      <c r="E845" s="14"/>
    </row>
    <row r="846">
      <c r="E846" s="14"/>
    </row>
    <row r="847">
      <c r="E847" s="14"/>
    </row>
    <row r="848">
      <c r="E848" s="14"/>
    </row>
    <row r="849">
      <c r="E849" s="14"/>
    </row>
    <row r="850">
      <c r="E850" s="14"/>
    </row>
    <row r="851">
      <c r="E851" s="14"/>
    </row>
    <row r="852">
      <c r="E852" s="14"/>
    </row>
    <row r="853">
      <c r="E853" s="14"/>
    </row>
    <row r="854">
      <c r="E854" s="14"/>
    </row>
    <row r="855">
      <c r="E855" s="14"/>
    </row>
    <row r="856">
      <c r="E856" s="14"/>
    </row>
    <row r="857">
      <c r="E857" s="14"/>
    </row>
    <row r="858">
      <c r="E858" s="14"/>
    </row>
    <row r="859">
      <c r="E859" s="14"/>
    </row>
    <row r="860">
      <c r="E860" s="14"/>
    </row>
    <row r="861">
      <c r="E861" s="14"/>
    </row>
    <row r="862">
      <c r="E862" s="14"/>
    </row>
    <row r="863">
      <c r="E863" s="14"/>
    </row>
    <row r="864">
      <c r="E864" s="14"/>
    </row>
    <row r="865">
      <c r="E865" s="14"/>
    </row>
    <row r="866">
      <c r="E866" s="14"/>
    </row>
    <row r="867">
      <c r="E867" s="14"/>
    </row>
    <row r="868">
      <c r="E868" s="14"/>
    </row>
    <row r="869">
      <c r="E869" s="14"/>
    </row>
    <row r="870">
      <c r="E870" s="14"/>
    </row>
    <row r="871">
      <c r="E871" s="14"/>
    </row>
    <row r="872">
      <c r="E872" s="14"/>
    </row>
    <row r="873">
      <c r="E873" s="14"/>
    </row>
    <row r="874">
      <c r="E874" s="14"/>
    </row>
    <row r="875">
      <c r="E875" s="14"/>
    </row>
    <row r="876">
      <c r="E876" s="14"/>
    </row>
    <row r="877">
      <c r="E877" s="14"/>
    </row>
    <row r="878">
      <c r="E878" s="14"/>
    </row>
    <row r="879">
      <c r="E879" s="14"/>
    </row>
    <row r="880">
      <c r="E880" s="14"/>
    </row>
    <row r="881">
      <c r="E881" s="14"/>
    </row>
    <row r="882">
      <c r="E882" s="14"/>
    </row>
    <row r="883">
      <c r="E883" s="14"/>
    </row>
    <row r="884">
      <c r="E884" s="14"/>
    </row>
    <row r="885">
      <c r="E885" s="14"/>
    </row>
    <row r="886">
      <c r="E886" s="14"/>
    </row>
    <row r="887">
      <c r="E887" s="14"/>
    </row>
    <row r="888">
      <c r="E888" s="14"/>
    </row>
    <row r="889">
      <c r="E889" s="14"/>
    </row>
    <row r="890">
      <c r="E890" s="14"/>
    </row>
    <row r="891">
      <c r="E891" s="14"/>
    </row>
    <row r="892">
      <c r="E892" s="14"/>
    </row>
    <row r="893">
      <c r="E893" s="14"/>
    </row>
    <row r="894">
      <c r="E894" s="14"/>
    </row>
    <row r="895">
      <c r="E895" s="14"/>
    </row>
    <row r="896">
      <c r="E896" s="14"/>
    </row>
    <row r="897">
      <c r="E897" s="14"/>
    </row>
    <row r="898">
      <c r="E898" s="14"/>
    </row>
    <row r="899">
      <c r="E899" s="14"/>
    </row>
    <row r="900">
      <c r="E900" s="14"/>
    </row>
    <row r="901">
      <c r="E901" s="14"/>
    </row>
    <row r="902">
      <c r="E902" s="14"/>
    </row>
    <row r="903">
      <c r="E903" s="14"/>
    </row>
    <row r="904">
      <c r="E904" s="14"/>
    </row>
    <row r="905">
      <c r="E905" s="14"/>
    </row>
    <row r="906">
      <c r="E906" s="14"/>
    </row>
    <row r="907">
      <c r="E907" s="14"/>
    </row>
    <row r="908">
      <c r="E908" s="14"/>
    </row>
    <row r="909">
      <c r="E909" s="14"/>
    </row>
    <row r="910">
      <c r="E910" s="14"/>
    </row>
    <row r="911">
      <c r="E911" s="14"/>
    </row>
    <row r="912">
      <c r="E912" s="14"/>
    </row>
    <row r="913">
      <c r="E913" s="14"/>
    </row>
    <row r="914">
      <c r="E914" s="14"/>
    </row>
    <row r="915">
      <c r="E915" s="14"/>
    </row>
    <row r="916">
      <c r="E916" s="14"/>
    </row>
    <row r="917">
      <c r="E917" s="14"/>
    </row>
    <row r="918">
      <c r="E918" s="14"/>
    </row>
    <row r="919">
      <c r="E919" s="14"/>
    </row>
    <row r="920">
      <c r="E920" s="14"/>
    </row>
    <row r="921">
      <c r="E921" s="14"/>
    </row>
    <row r="922">
      <c r="E922" s="14"/>
    </row>
    <row r="923">
      <c r="E923" s="14"/>
    </row>
    <row r="924">
      <c r="E924" s="14"/>
    </row>
    <row r="925">
      <c r="E925" s="14"/>
    </row>
    <row r="926">
      <c r="E926" s="14"/>
    </row>
    <row r="927">
      <c r="E927" s="14"/>
    </row>
    <row r="928">
      <c r="E928" s="14"/>
    </row>
    <row r="929">
      <c r="E929" s="14"/>
    </row>
    <row r="930">
      <c r="E930" s="14"/>
    </row>
    <row r="931">
      <c r="E931" s="14"/>
    </row>
    <row r="932">
      <c r="E932" s="14"/>
    </row>
    <row r="933">
      <c r="E933" s="14"/>
    </row>
    <row r="934">
      <c r="E934" s="14"/>
    </row>
    <row r="935">
      <c r="E935" s="14"/>
    </row>
    <row r="936">
      <c r="E936" s="14"/>
    </row>
    <row r="937">
      <c r="E937" s="14"/>
    </row>
    <row r="938">
      <c r="E938" s="14"/>
    </row>
    <row r="939">
      <c r="E939" s="14"/>
    </row>
    <row r="940">
      <c r="E940" s="14"/>
    </row>
    <row r="941">
      <c r="E941" s="14"/>
    </row>
    <row r="942">
      <c r="E942" s="14"/>
    </row>
    <row r="943">
      <c r="E943" s="14"/>
    </row>
    <row r="944">
      <c r="E944" s="14"/>
    </row>
    <row r="945">
      <c r="E945" s="14"/>
    </row>
    <row r="946">
      <c r="E946" s="14"/>
    </row>
    <row r="947">
      <c r="E947" s="14"/>
    </row>
    <row r="948">
      <c r="E948" s="14"/>
    </row>
    <row r="949">
      <c r="E949" s="14"/>
    </row>
    <row r="950">
      <c r="E950" s="14"/>
    </row>
    <row r="951">
      <c r="E951" s="14"/>
    </row>
    <row r="952">
      <c r="E952" s="14"/>
    </row>
    <row r="953">
      <c r="E953" s="14"/>
    </row>
    <row r="954">
      <c r="E954" s="14"/>
    </row>
    <row r="955">
      <c r="E955" s="14"/>
    </row>
    <row r="956">
      <c r="E956" s="14"/>
    </row>
    <row r="957">
      <c r="E957" s="14"/>
    </row>
    <row r="958">
      <c r="E958" s="14"/>
    </row>
    <row r="959">
      <c r="E959" s="14"/>
    </row>
    <row r="960">
      <c r="E960" s="14"/>
    </row>
    <row r="961">
      <c r="E961" s="14"/>
    </row>
    <row r="962">
      <c r="E962" s="14"/>
    </row>
    <row r="963">
      <c r="E963" s="14"/>
    </row>
    <row r="964">
      <c r="E964" s="14"/>
    </row>
    <row r="965">
      <c r="E965" s="14"/>
    </row>
    <row r="966">
      <c r="E966" s="14"/>
    </row>
    <row r="967">
      <c r="E967" s="14"/>
    </row>
    <row r="968">
      <c r="E968" s="14"/>
    </row>
    <row r="969">
      <c r="E969" s="14"/>
    </row>
    <row r="970">
      <c r="E970" s="14"/>
    </row>
    <row r="971">
      <c r="E971" s="14"/>
    </row>
    <row r="972">
      <c r="E972" s="14"/>
    </row>
    <row r="973">
      <c r="E973" s="14"/>
    </row>
    <row r="974">
      <c r="E974" s="14"/>
    </row>
    <row r="975">
      <c r="E975" s="14"/>
    </row>
    <row r="976">
      <c r="E976" s="14"/>
    </row>
    <row r="977">
      <c r="E977" s="14"/>
    </row>
    <row r="978">
      <c r="E978" s="14"/>
    </row>
    <row r="979">
      <c r="E979" s="14"/>
    </row>
    <row r="980">
      <c r="E980" s="14"/>
    </row>
    <row r="981">
      <c r="E981" s="14"/>
    </row>
    <row r="982">
      <c r="E982" s="14"/>
    </row>
    <row r="983">
      <c r="E983" s="14"/>
    </row>
    <row r="984">
      <c r="E984" s="14"/>
    </row>
    <row r="985">
      <c r="E985" s="14"/>
    </row>
    <row r="986">
      <c r="E986" s="14"/>
    </row>
    <row r="987">
      <c r="E987" s="14"/>
    </row>
    <row r="988">
      <c r="E988" s="14"/>
    </row>
    <row r="989">
      <c r="E989" s="14"/>
    </row>
    <row r="990">
      <c r="E990" s="14"/>
    </row>
    <row r="991">
      <c r="E991" s="14"/>
    </row>
    <row r="992">
      <c r="E992" s="14"/>
    </row>
    <row r="993">
      <c r="E993" s="14"/>
    </row>
    <row r="994">
      <c r="E994" s="14"/>
    </row>
    <row r="995">
      <c r="E995" s="14"/>
    </row>
    <row r="996">
      <c r="E996" s="14"/>
    </row>
    <row r="997">
      <c r="E997" s="14"/>
    </row>
    <row r="998">
      <c r="E998" s="14"/>
    </row>
    <row r="999">
      <c r="E999" s="14"/>
    </row>
    <row r="1000">
      <c r="E1000" s="14"/>
    </row>
    <row r="1001">
      <c r="E1001" s="14"/>
    </row>
    <row r="1002">
      <c r="E1002" s="14"/>
    </row>
    <row r="1003">
      <c r="E1003" s="14"/>
    </row>
    <row r="1004">
      <c r="E1004" s="14"/>
    </row>
    <row r="1005">
      <c r="E1005" s="14"/>
    </row>
    <row r="1006">
      <c r="E1006" s="14"/>
    </row>
    <row r="1007">
      <c r="E1007" s="14"/>
    </row>
    <row r="1008">
      <c r="E1008" s="14"/>
    </row>
    <row r="1009">
      <c r="E1009" s="14"/>
    </row>
    <row r="1010">
      <c r="E1010" s="14"/>
    </row>
    <row r="1011">
      <c r="E1011" s="14"/>
    </row>
    <row r="1012">
      <c r="E1012" s="14"/>
    </row>
    <row r="1013">
      <c r="E1013" s="14"/>
    </row>
    <row r="1014">
      <c r="E1014" s="14"/>
    </row>
    <row r="1015">
      <c r="E1015" s="14"/>
    </row>
    <row r="1016">
      <c r="E1016" s="14"/>
    </row>
    <row r="1017">
      <c r="E1017" s="14"/>
    </row>
    <row r="1018">
      <c r="E1018" s="14"/>
    </row>
    <row r="1019">
      <c r="E1019" s="14"/>
    </row>
    <row r="1020">
      <c r="E1020" s="14"/>
    </row>
    <row r="1021">
      <c r="E1021" s="14"/>
    </row>
    <row r="1022">
      <c r="E1022" s="14"/>
    </row>
    <row r="1023">
      <c r="E1023" s="14"/>
    </row>
    <row r="1024">
      <c r="E1024" s="14"/>
    </row>
    <row r="1025">
      <c r="E1025" s="14"/>
    </row>
    <row r="1026">
      <c r="E1026" s="14"/>
    </row>
    <row r="1027">
      <c r="E1027" s="14"/>
    </row>
  </sheetData>
  <hyperlinks>
    <hyperlink r:id="rId2" ref="B33"/>
    <hyperlink r:id="rId3" ref="B36"/>
  </hyperlink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4" width="36.25"/>
    <col customWidth="1" min="5" max="5" width="32.88"/>
  </cols>
  <sheetData>
    <row r="2">
      <c r="C2" s="115" t="s">
        <v>179</v>
      </c>
      <c r="D2" s="115" t="s">
        <v>180</v>
      </c>
      <c r="E2" s="115" t="s">
        <v>181</v>
      </c>
    </row>
    <row r="3">
      <c r="C3" s="11" t="s">
        <v>152</v>
      </c>
      <c r="D3" s="11" t="s">
        <v>182</v>
      </c>
      <c r="E3" s="11" t="s">
        <v>183</v>
      </c>
    </row>
    <row r="4">
      <c r="C4" s="11" t="s">
        <v>184</v>
      </c>
      <c r="D4" s="11" t="s">
        <v>185</v>
      </c>
      <c r="E4" s="11" t="s">
        <v>186</v>
      </c>
    </row>
    <row r="5">
      <c r="C5" s="11" t="s">
        <v>187</v>
      </c>
      <c r="D5" s="11" t="s">
        <v>188</v>
      </c>
      <c r="E5" s="11" t="s">
        <v>189</v>
      </c>
    </row>
    <row r="6">
      <c r="C6" s="11" t="s">
        <v>159</v>
      </c>
      <c r="D6" s="11" t="s">
        <v>190</v>
      </c>
      <c r="E6" s="11" t="s">
        <v>191</v>
      </c>
    </row>
    <row r="7">
      <c r="C7" s="11" t="s">
        <v>192</v>
      </c>
      <c r="D7" s="11" t="s">
        <v>193</v>
      </c>
      <c r="E7" s="11" t="s">
        <v>194</v>
      </c>
    </row>
    <row r="8">
      <c r="C8" s="11" t="s">
        <v>195</v>
      </c>
      <c r="D8" s="11" t="s">
        <v>196</v>
      </c>
      <c r="E8" s="11" t="s">
        <v>197</v>
      </c>
    </row>
    <row r="9">
      <c r="C9" s="11" t="s">
        <v>149</v>
      </c>
      <c r="D9" s="11" t="s">
        <v>198</v>
      </c>
      <c r="E9" s="11" t="s">
        <v>199</v>
      </c>
    </row>
    <row r="10">
      <c r="C10" s="11" t="s">
        <v>200</v>
      </c>
      <c r="D10" s="11" t="s">
        <v>201</v>
      </c>
      <c r="E10" s="11" t="s">
        <v>202</v>
      </c>
    </row>
    <row r="11">
      <c r="C11" s="11" t="s">
        <v>203</v>
      </c>
      <c r="D11" s="11" t="s">
        <v>204</v>
      </c>
      <c r="E11" s="11" t="s">
        <v>205</v>
      </c>
    </row>
    <row r="12">
      <c r="C12" s="11" t="s">
        <v>166</v>
      </c>
      <c r="D12" s="11" t="s">
        <v>206</v>
      </c>
      <c r="E12" s="11" t="s">
        <v>207</v>
      </c>
    </row>
    <row r="13">
      <c r="C13" s="11" t="s">
        <v>208</v>
      </c>
      <c r="D13" s="11" t="s">
        <v>209</v>
      </c>
      <c r="E13" s="11" t="s">
        <v>210</v>
      </c>
    </row>
    <row r="14">
      <c r="C14" s="11" t="s">
        <v>211</v>
      </c>
      <c r="D14" s="11" t="s">
        <v>212</v>
      </c>
      <c r="E14" s="11" t="s">
        <v>213</v>
      </c>
    </row>
    <row r="15">
      <c r="C15" s="11" t="s">
        <v>214</v>
      </c>
      <c r="D15" s="11" t="s">
        <v>215</v>
      </c>
    </row>
    <row r="16">
      <c r="C16" s="11" t="s">
        <v>143</v>
      </c>
      <c r="D16" s="11" t="s">
        <v>216</v>
      </c>
      <c r="E16" s="11" t="s">
        <v>217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 customWidth="1" min="4" max="4" width="24.75"/>
    <col customWidth="1" min="5" max="5" width="22.25"/>
    <col customWidth="1" min="6" max="6" width="112.88"/>
  </cols>
  <sheetData>
    <row r="2">
      <c r="B2" s="116" t="s">
        <v>218</v>
      </c>
      <c r="C2" s="117" t="s">
        <v>219</v>
      </c>
      <c r="D2" s="117" t="s">
        <v>220</v>
      </c>
      <c r="E2" s="2" t="s">
        <v>221</v>
      </c>
      <c r="F2" s="118"/>
    </row>
    <row r="3">
      <c r="B3" s="76"/>
      <c r="C3" s="119" t="s">
        <v>222</v>
      </c>
      <c r="D3" s="5" t="s">
        <v>152</v>
      </c>
      <c r="E3" s="5" t="s">
        <v>223</v>
      </c>
      <c r="F3" s="5" t="s">
        <v>224</v>
      </c>
    </row>
    <row r="4">
      <c r="B4" s="76"/>
      <c r="C4" s="5" t="s">
        <v>222</v>
      </c>
      <c r="D4" s="5" t="s">
        <v>184</v>
      </c>
      <c r="E4" s="5" t="s">
        <v>225</v>
      </c>
      <c r="F4" s="5" t="s">
        <v>226</v>
      </c>
    </row>
    <row r="5">
      <c r="B5" s="76"/>
      <c r="C5" s="5" t="s">
        <v>222</v>
      </c>
      <c r="D5" s="5" t="s">
        <v>187</v>
      </c>
      <c r="E5" s="5" t="s">
        <v>227</v>
      </c>
      <c r="F5" s="5" t="s">
        <v>228</v>
      </c>
    </row>
    <row r="6">
      <c r="B6" s="76"/>
      <c r="C6" s="5" t="s">
        <v>222</v>
      </c>
      <c r="D6" s="5" t="s">
        <v>143</v>
      </c>
      <c r="E6" s="5" t="s">
        <v>223</v>
      </c>
      <c r="F6" s="5" t="s">
        <v>229</v>
      </c>
    </row>
    <row r="7">
      <c r="B7" s="76"/>
      <c r="C7" s="5" t="s">
        <v>230</v>
      </c>
      <c r="D7" s="5" t="s">
        <v>143</v>
      </c>
      <c r="E7" s="5" t="s">
        <v>223</v>
      </c>
      <c r="F7" s="5" t="s">
        <v>231</v>
      </c>
    </row>
    <row r="8">
      <c r="B8" s="76"/>
      <c r="C8" s="5"/>
      <c r="E8" s="5" t="s">
        <v>223</v>
      </c>
      <c r="F8" s="5" t="s">
        <v>232</v>
      </c>
    </row>
    <row r="9">
      <c r="B9" s="76"/>
      <c r="C9" s="5" t="s">
        <v>230</v>
      </c>
      <c r="D9" s="5" t="s">
        <v>233</v>
      </c>
      <c r="E9" s="5" t="s">
        <v>234</v>
      </c>
      <c r="F9" s="5" t="s">
        <v>235</v>
      </c>
    </row>
    <row r="10">
      <c r="B10" s="76"/>
      <c r="C10" s="5"/>
      <c r="D10" s="5"/>
      <c r="E10" s="5" t="s">
        <v>223</v>
      </c>
      <c r="F10" s="5" t="s">
        <v>236</v>
      </c>
    </row>
    <row r="11">
      <c r="B11" s="76"/>
      <c r="C11" s="5"/>
      <c r="D11" s="5" t="s">
        <v>149</v>
      </c>
      <c r="E11" s="5" t="s">
        <v>237</v>
      </c>
      <c r="F11" s="5" t="s">
        <v>238</v>
      </c>
    </row>
    <row r="12">
      <c r="B12" s="76"/>
      <c r="C12" s="5"/>
      <c r="D12" s="5" t="s">
        <v>149</v>
      </c>
      <c r="E12" s="5" t="s">
        <v>237</v>
      </c>
      <c r="F12" s="5" t="s">
        <v>239</v>
      </c>
    </row>
    <row r="13">
      <c r="B13" s="76"/>
      <c r="C13" s="5"/>
      <c r="D13" s="5"/>
      <c r="E13" s="5" t="s">
        <v>240</v>
      </c>
      <c r="F13" s="5" t="s">
        <v>241</v>
      </c>
    </row>
    <row r="14">
      <c r="B14" s="76"/>
      <c r="C14" s="5"/>
      <c r="D14" s="5" t="s">
        <v>242</v>
      </c>
      <c r="E14" s="5" t="s">
        <v>240</v>
      </c>
      <c r="F14" s="5" t="s">
        <v>243</v>
      </c>
    </row>
    <row r="15">
      <c r="B15" s="76"/>
      <c r="C15" s="5" t="s">
        <v>230</v>
      </c>
      <c r="D15" s="5" t="s">
        <v>244</v>
      </c>
      <c r="E15" s="5" t="s">
        <v>245</v>
      </c>
      <c r="F15" s="5" t="s">
        <v>246</v>
      </c>
    </row>
    <row r="16">
      <c r="B16" s="76"/>
      <c r="C16" s="5"/>
      <c r="D16" s="76" t="s">
        <v>247</v>
      </c>
      <c r="E16" s="5" t="s">
        <v>248</v>
      </c>
      <c r="F16" s="5" t="s">
        <v>249</v>
      </c>
    </row>
    <row r="17">
      <c r="B17" s="76"/>
      <c r="C17" s="5" t="s">
        <v>230</v>
      </c>
      <c r="D17" s="5" t="s">
        <v>152</v>
      </c>
      <c r="E17" s="5" t="s">
        <v>223</v>
      </c>
      <c r="F17" s="5" t="s">
        <v>250</v>
      </c>
    </row>
    <row r="18">
      <c r="B18" s="76"/>
      <c r="C18" s="5"/>
      <c r="D18" s="5" t="s">
        <v>214</v>
      </c>
      <c r="E18" s="5" t="s">
        <v>223</v>
      </c>
      <c r="F18" s="5" t="s">
        <v>251</v>
      </c>
    </row>
    <row r="19">
      <c r="B19" s="76"/>
      <c r="C19" s="5"/>
      <c r="D19" s="5" t="s">
        <v>252</v>
      </c>
      <c r="E19" s="5" t="s">
        <v>223</v>
      </c>
      <c r="F19" s="5" t="s">
        <v>253</v>
      </c>
    </row>
    <row r="20">
      <c r="B20" s="76"/>
      <c r="C20" s="5"/>
      <c r="D20" s="5"/>
      <c r="E20" s="5" t="s">
        <v>223</v>
      </c>
      <c r="F20" s="5" t="s">
        <v>254</v>
      </c>
    </row>
    <row r="21">
      <c r="B21" s="76"/>
      <c r="C21" s="5"/>
      <c r="D21" s="5"/>
      <c r="E21" s="5" t="s">
        <v>223</v>
      </c>
      <c r="F21" s="5" t="s">
        <v>255</v>
      </c>
    </row>
    <row r="22">
      <c r="B22" s="76"/>
      <c r="C22" s="5" t="s">
        <v>230</v>
      </c>
      <c r="D22" s="5" t="s">
        <v>256</v>
      </c>
      <c r="E22" s="5" t="s">
        <v>240</v>
      </c>
      <c r="F22" s="5" t="s">
        <v>257</v>
      </c>
    </row>
    <row r="23">
      <c r="B23" s="76"/>
      <c r="C23" s="5"/>
      <c r="D23" s="5"/>
      <c r="E23" s="5"/>
      <c r="F23" s="5"/>
    </row>
  </sheetData>
  <dataValidations>
    <dataValidation type="list" allowBlank="1" showErrorMessage="1" sqref="C3:C23">
      <formula1>"Done,In Progress,Not Started"</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17.25"/>
    <col customWidth="1" min="3" max="3" width="26.13"/>
    <col customWidth="1" min="4" max="4" width="45.25"/>
    <col customWidth="1" min="9" max="9" width="14.63"/>
    <col customWidth="1" min="10" max="10" width="27.25"/>
    <col customWidth="1" min="11" max="11" width="18.63"/>
    <col customWidth="1" min="12" max="12" width="26.0"/>
    <col customWidth="1" min="13" max="13" width="18.63"/>
    <col customWidth="1" min="14" max="14" width="20.63"/>
    <col customWidth="1" min="19" max="21" width="24.63"/>
    <col customWidth="1" min="22" max="22" width="21.0"/>
    <col customWidth="1" min="24" max="24" width="25.25"/>
    <col customWidth="1" min="26" max="26" width="25.88"/>
    <col customWidth="1" min="28" max="28" width="15.75"/>
  </cols>
  <sheetData>
    <row r="1">
      <c r="B1" s="11" t="s">
        <v>258</v>
      </c>
      <c r="C1" s="11"/>
      <c r="D1" s="11"/>
      <c r="E1" s="1" t="s">
        <v>259</v>
      </c>
      <c r="V1" s="1" t="s">
        <v>260</v>
      </c>
      <c r="W1" s="11">
        <v>25.0</v>
      </c>
      <c r="Z1" s="11" t="s">
        <v>261</v>
      </c>
      <c r="AA1" s="120" t="s">
        <v>262</v>
      </c>
    </row>
    <row r="2">
      <c r="B2" s="11" t="s">
        <v>263</v>
      </c>
      <c r="C2" s="11"/>
      <c r="D2" s="11"/>
      <c r="E2" s="11" t="s">
        <v>264</v>
      </c>
      <c r="H2" s="11" t="s">
        <v>265</v>
      </c>
      <c r="I2" s="43">
        <f>AVERAGE(I22:I33)</f>
        <v>5.200845738</v>
      </c>
      <c r="N2" s="1" t="s">
        <v>265</v>
      </c>
      <c r="O2" s="43">
        <f>AVERAGE(O22:O47)</f>
        <v>1.635194015</v>
      </c>
      <c r="V2" s="1" t="s">
        <v>266</v>
      </c>
      <c r="W2" s="11">
        <v>9000.0</v>
      </c>
    </row>
    <row r="3">
      <c r="V3" s="11"/>
      <c r="W3" s="11"/>
      <c r="X3" s="11"/>
      <c r="Y3" s="1" t="s">
        <v>267</v>
      </c>
      <c r="AB3" s="1"/>
      <c r="AC3" s="1"/>
      <c r="AD3" s="1" t="s">
        <v>268</v>
      </c>
    </row>
    <row r="4">
      <c r="B4" s="88" t="s">
        <v>48</v>
      </c>
      <c r="C4" s="1" t="s">
        <v>269</v>
      </c>
      <c r="D4" s="1" t="s">
        <v>270</v>
      </c>
      <c r="E4" s="1" t="s">
        <v>271</v>
      </c>
      <c r="F4" s="1"/>
      <c r="G4" s="1" t="s">
        <v>272</v>
      </c>
      <c r="H4" s="1" t="s">
        <v>273</v>
      </c>
      <c r="I4" s="1" t="s">
        <v>274</v>
      </c>
      <c r="J4" s="1" t="s">
        <v>275</v>
      </c>
      <c r="K4" s="1" t="s">
        <v>276</v>
      </c>
      <c r="L4" s="1" t="s">
        <v>277</v>
      </c>
      <c r="M4" s="1" t="s">
        <v>278</v>
      </c>
      <c r="N4" s="1" t="s">
        <v>279</v>
      </c>
      <c r="O4" s="1" t="s">
        <v>280</v>
      </c>
      <c r="P4" s="1" t="s">
        <v>281</v>
      </c>
      <c r="Q4" s="1" t="s">
        <v>282</v>
      </c>
      <c r="R4" s="1" t="s">
        <v>283</v>
      </c>
      <c r="S4" s="1" t="s">
        <v>284</v>
      </c>
      <c r="T4" s="1" t="s">
        <v>285</v>
      </c>
      <c r="U4" s="1" t="s">
        <v>286</v>
      </c>
      <c r="V4" s="1" t="s">
        <v>287</v>
      </c>
      <c r="W4" s="1" t="s">
        <v>288</v>
      </c>
      <c r="X4" s="1" t="s">
        <v>289</v>
      </c>
      <c r="Y4" s="1" t="s">
        <v>290</v>
      </c>
      <c r="Z4" s="1" t="s">
        <v>291</v>
      </c>
      <c r="AA4" s="1" t="s">
        <v>23</v>
      </c>
      <c r="AB4" s="1" t="s">
        <v>292</v>
      </c>
      <c r="AC4" s="1" t="s">
        <v>293</v>
      </c>
      <c r="AD4" s="1" t="s">
        <v>14</v>
      </c>
      <c r="AE4" s="1" t="s">
        <v>294</v>
      </c>
      <c r="AF4" s="1" t="s">
        <v>295</v>
      </c>
      <c r="AG4" s="1" t="s">
        <v>296</v>
      </c>
      <c r="AH4" s="1" t="s">
        <v>297</v>
      </c>
      <c r="AI4" s="1" t="s">
        <v>298</v>
      </c>
      <c r="AJ4" s="1" t="s">
        <v>299</v>
      </c>
      <c r="AK4" s="1" t="s">
        <v>300</v>
      </c>
      <c r="AL4" s="1" t="s">
        <v>301</v>
      </c>
      <c r="AM4" s="1" t="s">
        <v>302</v>
      </c>
      <c r="AN4" s="1" t="s">
        <v>303</v>
      </c>
    </row>
    <row r="5">
      <c r="B5" s="1">
        <v>2023.0</v>
      </c>
      <c r="C5" s="94"/>
      <c r="D5" s="94">
        <v>575000.0</v>
      </c>
      <c r="E5" s="94"/>
      <c r="F5" s="94"/>
      <c r="G5" s="94"/>
      <c r="H5" s="94"/>
      <c r="I5" s="11"/>
      <c r="J5" s="121"/>
      <c r="K5" s="121">
        <v>289021.0</v>
      </c>
      <c r="L5" s="94"/>
      <c r="M5" s="94"/>
      <c r="N5" s="94"/>
      <c r="O5" s="43"/>
      <c r="P5" s="43"/>
      <c r="Q5" s="11"/>
      <c r="S5" s="122">
        <f t="shared" ref="S5:S8" si="1">AK5/26</f>
        <v>26418.53846</v>
      </c>
      <c r="T5" s="123">
        <f t="shared" ref="T5:T8" si="2">U5/365</f>
        <v>58.80839041</v>
      </c>
      <c r="U5" s="123">
        <f>AK5/V5</f>
        <v>21465.0625</v>
      </c>
      <c r="V5" s="124">
        <v>32.0</v>
      </c>
      <c r="W5" s="94">
        <f>AL5/X5</f>
        <v>15192.30769</v>
      </c>
      <c r="X5" s="125">
        <v>26.0</v>
      </c>
      <c r="Y5" s="123">
        <v>375000.0</v>
      </c>
      <c r="Z5" s="123">
        <v>20000.0</v>
      </c>
      <c r="AA5" s="123">
        <v>325000.0</v>
      </c>
      <c r="AB5" s="123">
        <v>325000.0</v>
      </c>
      <c r="AC5" s="123"/>
      <c r="AD5" s="123">
        <v>325000.0</v>
      </c>
      <c r="AE5" s="126">
        <v>0.0</v>
      </c>
      <c r="AF5" s="126">
        <v>50.0</v>
      </c>
      <c r="AG5" s="126">
        <v>800.0</v>
      </c>
      <c r="AH5" s="127">
        <v>32.0</v>
      </c>
      <c r="AI5" s="123">
        <v>16000.0</v>
      </c>
      <c r="AJ5" s="123">
        <v>20000.0</v>
      </c>
      <c r="AK5" s="128">
        <f t="shared" ref="AK5:AK8" si="3">SUM(AA5:AJ5)-AB5</f>
        <v>686882</v>
      </c>
      <c r="AL5" s="45">
        <f t="shared" ref="AL5:AL15" si="4">SUM(Y5:Z5)</f>
        <v>395000</v>
      </c>
      <c r="AM5" s="57">
        <f t="shared" ref="AM5:AM15" si="5">U5+W5</f>
        <v>36657.37019</v>
      </c>
      <c r="AN5" s="129">
        <f t="shared" ref="AN5:AN15" si="6">AM5/365</f>
        <v>100.4311512</v>
      </c>
    </row>
    <row r="6">
      <c r="B6" s="1">
        <v>2022.0</v>
      </c>
      <c r="C6" s="94"/>
      <c r="D6" s="94">
        <v>575000.0</v>
      </c>
      <c r="E6" s="94"/>
      <c r="F6" s="94"/>
      <c r="G6" s="94"/>
      <c r="H6" s="94"/>
      <c r="I6" s="11"/>
      <c r="J6" s="94"/>
      <c r="K6" s="94">
        <v>336085.0</v>
      </c>
      <c r="L6" s="94">
        <v>24660.0</v>
      </c>
      <c r="M6" s="94"/>
      <c r="N6" s="94"/>
      <c r="O6" s="43"/>
      <c r="P6" s="43"/>
      <c r="Q6" s="11"/>
      <c r="S6" s="122">
        <f t="shared" si="1"/>
        <v>11585.86924</v>
      </c>
      <c r="T6" s="123">
        <f t="shared" si="2"/>
        <v>25.54520548</v>
      </c>
      <c r="U6" s="94">
        <v>9324.0</v>
      </c>
      <c r="V6" s="130">
        <f t="shared" ref="V6:V8" si="7">AK6/U6</f>
        <v>32.30722869</v>
      </c>
      <c r="W6" s="94">
        <v>15336.0</v>
      </c>
      <c r="X6" s="131">
        <f t="shared" ref="X6:X9" si="8">AL6/W6</f>
        <v>26.18492436</v>
      </c>
      <c r="Y6" s="94">
        <v>380155.0</v>
      </c>
      <c r="Z6" s="94">
        <v>21417.0</v>
      </c>
      <c r="AA6" s="132">
        <v>251451.0</v>
      </c>
      <c r="AB6" s="132">
        <v>304715.0</v>
      </c>
      <c r="AC6" s="133">
        <f t="shared" ref="AC6:AC8" si="9">AA6/(Y6+Z6)</f>
        <v>0.626166665</v>
      </c>
      <c r="AD6" s="11">
        <v>20440.0</v>
      </c>
      <c r="AE6" s="11">
        <v>0.0</v>
      </c>
      <c r="AF6" s="11">
        <v>57.0</v>
      </c>
      <c r="AG6" s="11">
        <v>838.0</v>
      </c>
      <c r="AH6" s="134">
        <f>287767/$W$2</f>
        <v>31.97411111</v>
      </c>
      <c r="AI6" s="94">
        <v>16205.0</v>
      </c>
      <c r="AJ6" s="94">
        <v>12209.0</v>
      </c>
      <c r="AK6" s="128">
        <f t="shared" si="3"/>
        <v>301232.6003</v>
      </c>
      <c r="AL6" s="57">
        <f t="shared" si="4"/>
        <v>401572</v>
      </c>
      <c r="AM6" s="57">
        <f t="shared" si="5"/>
        <v>24660</v>
      </c>
      <c r="AN6" s="129">
        <f t="shared" si="6"/>
        <v>67.56164384</v>
      </c>
    </row>
    <row r="7">
      <c r="B7" s="1">
        <v>2021.0</v>
      </c>
      <c r="C7" s="94">
        <v>450000.0</v>
      </c>
      <c r="D7" s="94">
        <v>575000.0</v>
      </c>
      <c r="E7" s="94"/>
      <c r="F7" s="94"/>
      <c r="G7" s="94"/>
      <c r="H7" s="94"/>
      <c r="I7" s="11"/>
      <c r="J7" s="94"/>
      <c r="K7" s="94">
        <v>341316.0</v>
      </c>
      <c r="L7" s="94">
        <v>23277.0</v>
      </c>
      <c r="M7" s="94"/>
      <c r="N7" s="135"/>
      <c r="O7" s="43"/>
      <c r="P7" s="43"/>
      <c r="Q7" s="11"/>
      <c r="S7" s="122">
        <f t="shared" si="1"/>
        <v>11938.62287</v>
      </c>
      <c r="T7" s="123">
        <f t="shared" si="2"/>
        <v>26.95342466</v>
      </c>
      <c r="U7" s="94">
        <v>9838.0</v>
      </c>
      <c r="V7" s="130">
        <f t="shared" si="7"/>
        <v>31.55155465</v>
      </c>
      <c r="W7" s="94">
        <f>13439</f>
        <v>13439</v>
      </c>
      <c r="X7" s="131">
        <f t="shared" si="8"/>
        <v>26.36193169</v>
      </c>
      <c r="Y7" s="94">
        <v>334365.0</v>
      </c>
      <c r="Z7" s="94">
        <v>19913.0</v>
      </c>
      <c r="AA7" s="94">
        <v>287283.0</v>
      </c>
      <c r="AB7" s="94">
        <v>441615.0</v>
      </c>
      <c r="AC7" s="136">
        <f t="shared" si="9"/>
        <v>0.8108970921</v>
      </c>
      <c r="AD7" s="11">
        <v>3092.0</v>
      </c>
      <c r="AE7" s="11">
        <v>1131.0</v>
      </c>
      <c r="AF7" s="11">
        <v>125.0</v>
      </c>
      <c r="AG7" s="11">
        <v>551.0</v>
      </c>
      <c r="AH7" s="134">
        <f>228454/W2</f>
        <v>25.38377778</v>
      </c>
      <c r="AI7" s="94">
        <v>18196.0</v>
      </c>
      <c r="AJ7" s="94">
        <v>0.0</v>
      </c>
      <c r="AK7" s="128">
        <f t="shared" si="3"/>
        <v>310404.1947</v>
      </c>
      <c r="AL7" s="57">
        <f t="shared" si="4"/>
        <v>354278</v>
      </c>
      <c r="AM7" s="57">
        <f t="shared" si="5"/>
        <v>23277</v>
      </c>
      <c r="AN7" s="129">
        <f t="shared" si="6"/>
        <v>63.77260274</v>
      </c>
    </row>
    <row r="8">
      <c r="B8" s="1">
        <v>2020.0</v>
      </c>
      <c r="C8" s="94">
        <v>450000.0</v>
      </c>
      <c r="D8" s="94">
        <v>575000.0</v>
      </c>
      <c r="E8" s="94">
        <v>162.45</v>
      </c>
      <c r="F8" s="94"/>
      <c r="G8" s="137">
        <v>605800.0</v>
      </c>
      <c r="H8" s="94"/>
      <c r="I8" s="11"/>
      <c r="J8" s="138">
        <f t="shared" ref="J8:J14" si="10">G8/K8</f>
        <v>1.559041825</v>
      </c>
      <c r="K8" s="94">
        <v>388572.0</v>
      </c>
      <c r="L8" s="94">
        <v>28481.0</v>
      </c>
      <c r="M8" s="94">
        <v>387584.0</v>
      </c>
      <c r="N8" s="94">
        <v>395071.0</v>
      </c>
      <c r="O8" s="43">
        <f t="shared" ref="O8:O9" si="11">G8/M8</f>
        <v>1.563016017</v>
      </c>
      <c r="P8" s="43">
        <f t="shared" ref="P8:P9" si="12">G8/N8</f>
        <v>1.533395263</v>
      </c>
      <c r="Q8" s="11"/>
      <c r="R8" s="20" t="s">
        <v>304</v>
      </c>
      <c r="S8" s="122">
        <f t="shared" si="1"/>
        <v>13794.6592</v>
      </c>
      <c r="T8" s="123">
        <f t="shared" si="2"/>
        <v>35.52328767</v>
      </c>
      <c r="U8" s="94">
        <v>12966.0</v>
      </c>
      <c r="V8" s="139">
        <f t="shared" si="7"/>
        <v>27.6616643</v>
      </c>
      <c r="W8" s="94">
        <f>15515</f>
        <v>15515</v>
      </c>
      <c r="X8" s="131">
        <f t="shared" si="8"/>
        <v>26.38917177</v>
      </c>
      <c r="Y8" s="94">
        <v>402134.0</v>
      </c>
      <c r="Z8" s="94">
        <v>7294.0</v>
      </c>
      <c r="AA8" s="94">
        <v>334354.0</v>
      </c>
      <c r="AB8" s="94">
        <v>443714.0</v>
      </c>
      <c r="AC8" s="136">
        <f t="shared" si="9"/>
        <v>0.816636869</v>
      </c>
      <c r="AD8" s="11">
        <v>0.0</v>
      </c>
      <c r="AE8" s="11">
        <v>4452.0</v>
      </c>
      <c r="AF8" s="11">
        <v>214.0</v>
      </c>
      <c r="AG8" s="11">
        <v>553.0</v>
      </c>
      <c r="AH8" s="134">
        <f>209904/W2</f>
        <v>23.32266667</v>
      </c>
      <c r="AI8" s="94">
        <v>19064.0</v>
      </c>
      <c r="AJ8" s="94">
        <v>0.0</v>
      </c>
      <c r="AK8" s="128">
        <f t="shared" si="3"/>
        <v>358661.1393</v>
      </c>
      <c r="AL8" s="57">
        <f t="shared" si="4"/>
        <v>409428</v>
      </c>
      <c r="AM8" s="57">
        <f t="shared" si="5"/>
        <v>28481</v>
      </c>
      <c r="AN8" s="129">
        <f t="shared" si="6"/>
        <v>78.03013699</v>
      </c>
    </row>
    <row r="9">
      <c r="B9" s="1">
        <v>2019.0</v>
      </c>
      <c r="C9" s="94">
        <v>450000.0</v>
      </c>
      <c r="D9" s="94">
        <v>575000.0</v>
      </c>
      <c r="E9" s="94">
        <v>219.62</v>
      </c>
      <c r="F9" s="94"/>
      <c r="G9" s="137">
        <v>517217.0</v>
      </c>
      <c r="H9" s="94"/>
      <c r="I9" s="11"/>
      <c r="J9" s="138">
        <f t="shared" si="10"/>
        <v>1.850203544</v>
      </c>
      <c r="K9" s="94">
        <v>279546.0</v>
      </c>
      <c r="L9" s="94">
        <v>19478.0</v>
      </c>
      <c r="M9" s="94">
        <v>326254.0</v>
      </c>
      <c r="N9" s="94">
        <v>249747.0</v>
      </c>
      <c r="O9" s="43">
        <f t="shared" si="11"/>
        <v>1.585320027</v>
      </c>
      <c r="P9" s="43">
        <f t="shared" si="12"/>
        <v>2.070963815</v>
      </c>
      <c r="Q9" s="11">
        <v>5991.0</v>
      </c>
      <c r="R9" s="20" t="s">
        <v>304</v>
      </c>
      <c r="S9" s="45"/>
      <c r="T9" s="45"/>
      <c r="U9" s="45">
        <f>22+276+916+1140+1029+416+655+716+699+579+270+800</f>
        <v>7518</v>
      </c>
      <c r="V9" s="139"/>
      <c r="W9" s="57">
        <f>12671</f>
        <v>12671</v>
      </c>
      <c r="X9" s="135">
        <f t="shared" si="8"/>
        <v>19.71012548</v>
      </c>
      <c r="Y9" s="140">
        <f>N9</f>
        <v>249747</v>
      </c>
      <c r="AB9" s="11">
        <v>245778.0</v>
      </c>
      <c r="AK9" s="141">
        <f t="shared" ref="AK9:AK15" si="13">SUM(AA9:AJ9)</f>
        <v>245778</v>
      </c>
      <c r="AL9" s="57">
        <f t="shared" si="4"/>
        <v>249747</v>
      </c>
      <c r="AM9" s="57">
        <f t="shared" si="5"/>
        <v>20189</v>
      </c>
      <c r="AN9" s="129">
        <f t="shared" si="6"/>
        <v>55.31232877</v>
      </c>
    </row>
    <row r="10">
      <c r="B10" s="1">
        <v>2018.0</v>
      </c>
      <c r="C10" s="94">
        <v>450000.0</v>
      </c>
      <c r="D10" s="94">
        <v>575000.0</v>
      </c>
      <c r="E10" s="45">
        <f>(E9+E11)/2</f>
        <v>249.61</v>
      </c>
      <c r="F10" s="45"/>
      <c r="G10" s="142"/>
      <c r="H10" s="94"/>
      <c r="I10" s="11"/>
      <c r="J10" s="138">
        <f t="shared" si="10"/>
        <v>0</v>
      </c>
      <c r="K10" s="94">
        <v>313276.0</v>
      </c>
      <c r="L10" s="47"/>
      <c r="M10" s="45"/>
      <c r="N10" s="94"/>
      <c r="O10" s="43"/>
      <c r="P10" s="43"/>
      <c r="Q10" s="11"/>
      <c r="R10" s="20" t="s">
        <v>304</v>
      </c>
      <c r="W10" s="57">
        <f t="shared" ref="W10:W15" si="14">Y10/X10</f>
        <v>14550.42308</v>
      </c>
      <c r="X10" s="127">
        <v>26.0</v>
      </c>
      <c r="Y10" s="140">
        <f t="shared" ref="Y10:Y11" si="15">N11</f>
        <v>378311</v>
      </c>
      <c r="AK10" s="141">
        <f t="shared" si="13"/>
        <v>0</v>
      </c>
      <c r="AL10" s="57">
        <f t="shared" si="4"/>
        <v>378311</v>
      </c>
      <c r="AM10" s="57">
        <f t="shared" si="5"/>
        <v>14550.42308</v>
      </c>
      <c r="AN10" s="129">
        <f t="shared" si="6"/>
        <v>39.86417281</v>
      </c>
    </row>
    <row r="11">
      <c r="B11" s="1">
        <v>2017.0</v>
      </c>
      <c r="C11" s="94">
        <v>450000.0</v>
      </c>
      <c r="D11" s="94">
        <v>575000.0</v>
      </c>
      <c r="E11" s="94">
        <v>279.6</v>
      </c>
      <c r="F11" s="94"/>
      <c r="G11" s="137">
        <v>566401.0</v>
      </c>
      <c r="H11" s="94"/>
      <c r="I11" s="11"/>
      <c r="J11" s="138">
        <f t="shared" si="10"/>
        <v>1.529222296</v>
      </c>
      <c r="K11" s="94">
        <v>370385.0</v>
      </c>
      <c r="L11" s="94">
        <v>14330.0</v>
      </c>
      <c r="M11" s="94">
        <v>355435.0</v>
      </c>
      <c r="N11" s="94">
        <v>378311.0</v>
      </c>
      <c r="O11" s="43">
        <f t="shared" ref="O11:O15" si="16">G11/M11</f>
        <v>1.593543123</v>
      </c>
      <c r="P11" s="43">
        <f t="shared" ref="P11:P15" si="17">G11/N11</f>
        <v>1.497183534</v>
      </c>
      <c r="Q11" s="11">
        <v>5352.0</v>
      </c>
      <c r="R11" s="20" t="s">
        <v>304</v>
      </c>
      <c r="W11" s="57">
        <f t="shared" si="14"/>
        <v>13408.96154</v>
      </c>
      <c r="X11" s="127">
        <v>26.0</v>
      </c>
      <c r="Y11" s="140">
        <f t="shared" si="15"/>
        <v>348633</v>
      </c>
      <c r="AK11" s="141">
        <f t="shared" si="13"/>
        <v>0</v>
      </c>
      <c r="AL11" s="57">
        <f t="shared" si="4"/>
        <v>348633</v>
      </c>
      <c r="AM11" s="57">
        <f t="shared" si="5"/>
        <v>13408.96154</v>
      </c>
      <c r="AN11" s="129">
        <f t="shared" si="6"/>
        <v>36.73688093</v>
      </c>
    </row>
    <row r="12">
      <c r="B12" s="1">
        <v>2016.0</v>
      </c>
      <c r="C12" s="94">
        <v>450000.0</v>
      </c>
      <c r="D12" s="94">
        <v>575000.0</v>
      </c>
      <c r="E12" s="94">
        <v>244.2</v>
      </c>
      <c r="F12" s="94"/>
      <c r="G12" s="137">
        <v>512856.0</v>
      </c>
      <c r="H12" s="94"/>
      <c r="I12" s="11"/>
      <c r="J12" s="138">
        <f t="shared" si="10"/>
        <v>1.859528135</v>
      </c>
      <c r="K12" s="94">
        <v>275799.0</v>
      </c>
      <c r="L12" s="94">
        <v>11305.0</v>
      </c>
      <c r="M12" s="94">
        <v>316058.0</v>
      </c>
      <c r="N12" s="94">
        <v>348633.0</v>
      </c>
      <c r="O12" s="43">
        <f t="shared" si="16"/>
        <v>1.622664195</v>
      </c>
      <c r="P12" s="43">
        <f t="shared" si="17"/>
        <v>1.471048352</v>
      </c>
      <c r="Q12" s="11">
        <v>5795.0</v>
      </c>
      <c r="R12" s="20" t="s">
        <v>304</v>
      </c>
      <c r="W12" s="57">
        <f t="shared" si="14"/>
        <v>13408.96154</v>
      </c>
      <c r="X12" s="127">
        <v>26.0</v>
      </c>
      <c r="Y12" s="140">
        <f>N12</f>
        <v>348633</v>
      </c>
      <c r="AA12" s="143"/>
      <c r="AK12" s="141">
        <f t="shared" si="13"/>
        <v>0</v>
      </c>
      <c r="AL12" s="57">
        <f t="shared" si="4"/>
        <v>348633</v>
      </c>
      <c r="AM12" s="57">
        <f t="shared" si="5"/>
        <v>13408.96154</v>
      </c>
      <c r="AN12" s="129">
        <f t="shared" si="6"/>
        <v>36.73688093</v>
      </c>
    </row>
    <row r="13">
      <c r="B13" s="1">
        <v>2015.0</v>
      </c>
      <c r="C13" s="94">
        <v>450000.0</v>
      </c>
      <c r="D13" s="94">
        <v>575000.0</v>
      </c>
      <c r="E13" s="94">
        <v>190.62</v>
      </c>
      <c r="F13" s="94"/>
      <c r="G13" s="137">
        <v>424996.0</v>
      </c>
      <c r="H13" s="94"/>
      <c r="I13" s="11"/>
      <c r="J13" s="138">
        <f t="shared" si="10"/>
        <v>1.741258799</v>
      </c>
      <c r="K13" s="94">
        <v>244074.0</v>
      </c>
      <c r="L13" s="94">
        <v>8729.0</v>
      </c>
      <c r="M13" s="94">
        <v>274469.0</v>
      </c>
      <c r="N13" s="94">
        <v>257488.0</v>
      </c>
      <c r="O13" s="43">
        <f t="shared" si="16"/>
        <v>1.548429877</v>
      </c>
      <c r="P13" s="43">
        <f t="shared" si="17"/>
        <v>1.650546822</v>
      </c>
      <c r="Q13" s="144">
        <v>4370.79</v>
      </c>
      <c r="R13" s="20" t="s">
        <v>304</v>
      </c>
      <c r="W13" s="57">
        <f t="shared" si="14"/>
        <v>12123.03846</v>
      </c>
      <c r="X13" s="127">
        <v>26.0</v>
      </c>
      <c r="Y13" s="140">
        <f t="shared" ref="Y13:Y14" si="18">N14</f>
        <v>315199</v>
      </c>
      <c r="AA13" s="143"/>
      <c r="AK13" s="141">
        <f t="shared" si="13"/>
        <v>0</v>
      </c>
      <c r="AL13" s="57">
        <f t="shared" si="4"/>
        <v>315199</v>
      </c>
      <c r="AM13" s="57">
        <f t="shared" si="5"/>
        <v>12123.03846</v>
      </c>
      <c r="AN13" s="129">
        <f t="shared" si="6"/>
        <v>33.213804</v>
      </c>
    </row>
    <row r="14">
      <c r="A14" s="11" t="s">
        <v>305</v>
      </c>
      <c r="B14" s="1">
        <v>2014.0</v>
      </c>
      <c r="C14" s="94">
        <v>450000.0</v>
      </c>
      <c r="D14" s="94">
        <v>575000.0</v>
      </c>
      <c r="E14" s="94">
        <v>503.1</v>
      </c>
      <c r="F14" s="94"/>
      <c r="G14" s="137">
        <v>441253.0</v>
      </c>
      <c r="H14" s="94"/>
      <c r="I14" s="11"/>
      <c r="J14" s="138">
        <f t="shared" si="10"/>
        <v>1.155687384</v>
      </c>
      <c r="K14" s="94">
        <v>381810.0</v>
      </c>
      <c r="L14" s="94">
        <v>9602.0</v>
      </c>
      <c r="M14" s="94">
        <v>274469.0</v>
      </c>
      <c r="N14" s="94">
        <v>315199.0</v>
      </c>
      <c r="O14" s="43">
        <f t="shared" si="16"/>
        <v>1.60766061</v>
      </c>
      <c r="P14" s="43">
        <f t="shared" si="17"/>
        <v>1.399918781</v>
      </c>
      <c r="Q14" s="144">
        <v>4316.85</v>
      </c>
      <c r="W14" s="57">
        <f t="shared" si="14"/>
        <v>14212.61538</v>
      </c>
      <c r="X14" s="127">
        <v>26.0</v>
      </c>
      <c r="Y14" s="140">
        <f t="shared" si="18"/>
        <v>369528</v>
      </c>
      <c r="AA14" s="143"/>
      <c r="AK14" s="141">
        <f t="shared" si="13"/>
        <v>0</v>
      </c>
      <c r="AL14" s="57">
        <f t="shared" si="4"/>
        <v>369528</v>
      </c>
      <c r="AM14" s="57">
        <f t="shared" si="5"/>
        <v>14212.61538</v>
      </c>
      <c r="AN14" s="129">
        <f t="shared" si="6"/>
        <v>38.93867229</v>
      </c>
    </row>
    <row r="15">
      <c r="A15" s="11" t="s">
        <v>306</v>
      </c>
      <c r="B15" s="1">
        <v>2013.0</v>
      </c>
      <c r="C15" s="94">
        <v>450000.0</v>
      </c>
      <c r="D15" s="94">
        <v>575000.0</v>
      </c>
      <c r="E15" s="94">
        <v>768.0</v>
      </c>
      <c r="F15" s="94"/>
      <c r="G15" s="137">
        <v>552638.0</v>
      </c>
      <c r="H15" s="94"/>
      <c r="I15" s="11"/>
      <c r="J15" s="94"/>
      <c r="K15" s="94"/>
      <c r="L15" s="94">
        <v>10692.0</v>
      </c>
      <c r="M15" s="94">
        <v>341377.0</v>
      </c>
      <c r="N15" s="94">
        <v>369528.0</v>
      </c>
      <c r="O15" s="43">
        <f t="shared" si="16"/>
        <v>1.618849542</v>
      </c>
      <c r="P15" s="43">
        <f t="shared" si="17"/>
        <v>1.49552402</v>
      </c>
      <c r="Q15" s="11">
        <v>5659.0</v>
      </c>
      <c r="W15" s="57">
        <f t="shared" si="14"/>
        <v>14212.61538</v>
      </c>
      <c r="X15" s="127">
        <v>26.0</v>
      </c>
      <c r="Y15" s="140">
        <f>N15</f>
        <v>369528</v>
      </c>
      <c r="AA15" s="145"/>
      <c r="AK15" s="141">
        <f t="shared" si="13"/>
        <v>0</v>
      </c>
      <c r="AL15" s="57">
        <f t="shared" si="4"/>
        <v>369528</v>
      </c>
      <c r="AM15" s="57">
        <f t="shared" si="5"/>
        <v>14212.61538</v>
      </c>
      <c r="AN15" s="129">
        <f t="shared" si="6"/>
        <v>38.93867229</v>
      </c>
    </row>
    <row r="16">
      <c r="B16" s="1">
        <v>2012.0</v>
      </c>
      <c r="C16" s="94">
        <v>450000.0</v>
      </c>
      <c r="D16" s="94">
        <v>575000.0</v>
      </c>
      <c r="E16" s="94"/>
      <c r="F16" s="94"/>
      <c r="G16" s="137"/>
      <c r="H16" s="94"/>
      <c r="I16" s="11"/>
      <c r="J16" s="94"/>
      <c r="K16" s="94"/>
      <c r="L16" s="94">
        <v>11262.0</v>
      </c>
      <c r="M16" s="94"/>
      <c r="N16" s="94"/>
      <c r="O16" s="43"/>
      <c r="P16" s="43"/>
      <c r="Q16" s="11"/>
      <c r="W16" s="57"/>
      <c r="X16" s="127"/>
      <c r="Y16" s="146"/>
      <c r="AA16" s="145"/>
      <c r="AN16" s="129"/>
    </row>
    <row r="17">
      <c r="B17" s="1">
        <v>2011.0</v>
      </c>
      <c r="C17" s="94">
        <v>450000.0</v>
      </c>
      <c r="D17" s="94">
        <v>575000.0</v>
      </c>
      <c r="E17" s="94">
        <v>900.0</v>
      </c>
      <c r="F17" s="94"/>
      <c r="G17" s="137">
        <v>648369.0</v>
      </c>
      <c r="H17" s="94"/>
      <c r="I17" s="11"/>
      <c r="J17" s="94"/>
      <c r="K17" s="94"/>
      <c r="L17" s="94">
        <v>10316.0</v>
      </c>
      <c r="M17" s="94">
        <v>390132.0</v>
      </c>
      <c r="N17" s="94">
        <v>446683.0</v>
      </c>
      <c r="O17" s="43">
        <f t="shared" ref="O17:O30" si="19">G17/M17</f>
        <v>1.661922119</v>
      </c>
      <c r="P17" s="43">
        <f t="shared" ref="P17:P23" si="20">G17/N17</f>
        <v>1.45151931</v>
      </c>
      <c r="Q17" s="11">
        <v>6598.0</v>
      </c>
      <c r="W17" s="57">
        <f t="shared" ref="W17:W38" si="21">Y17/X17</f>
        <v>13132.61538</v>
      </c>
      <c r="X17" s="127">
        <v>26.0</v>
      </c>
      <c r="Y17" s="140">
        <f t="shared" ref="Y17:Y18" si="22">N18</f>
        <v>341448</v>
      </c>
      <c r="AA17" s="145"/>
      <c r="AK17" s="141">
        <f t="shared" ref="AK17:AK44" si="23">SUM(AA17:AJ17)</f>
        <v>0</v>
      </c>
      <c r="AL17" s="57">
        <f t="shared" ref="AL17:AL33" si="24">SUM(Y17:Z17)</f>
        <v>341448</v>
      </c>
      <c r="AM17" s="57">
        <f t="shared" ref="AM17:AM38" si="25">U17+W17</f>
        <v>13132.61538</v>
      </c>
      <c r="AN17" s="129">
        <f t="shared" ref="AN17:AN38" si="26">AM17/365</f>
        <v>35.97976818</v>
      </c>
    </row>
    <row r="18">
      <c r="B18" s="1">
        <v>2010.0</v>
      </c>
      <c r="C18" s="94">
        <v>450000.0</v>
      </c>
      <c r="D18" s="94">
        <v>575000.0</v>
      </c>
      <c r="E18" s="94">
        <v>690.7</v>
      </c>
      <c r="F18" s="94"/>
      <c r="G18" s="137">
        <v>541079.0</v>
      </c>
      <c r="H18" s="94"/>
      <c r="I18" s="11"/>
      <c r="J18" s="94"/>
      <c r="K18" s="94"/>
      <c r="L18" s="94">
        <v>10024.0</v>
      </c>
      <c r="M18" s="94">
        <v>321788.0</v>
      </c>
      <c r="N18" s="94">
        <v>341448.0</v>
      </c>
      <c r="O18" s="43">
        <f t="shared" si="19"/>
        <v>1.681476624</v>
      </c>
      <c r="P18" s="43">
        <f t="shared" si="20"/>
        <v>1.584660036</v>
      </c>
      <c r="Q18" s="11">
        <v>5249.0</v>
      </c>
      <c r="W18" s="57">
        <f t="shared" si="21"/>
        <v>11876.11538</v>
      </c>
      <c r="X18" s="127">
        <v>26.0</v>
      </c>
      <c r="Y18" s="140">
        <f t="shared" si="22"/>
        <v>308779</v>
      </c>
      <c r="AK18" s="141">
        <f t="shared" si="23"/>
        <v>0</v>
      </c>
      <c r="AL18" s="57">
        <f t="shared" si="24"/>
        <v>308779</v>
      </c>
      <c r="AM18" s="57">
        <f t="shared" si="25"/>
        <v>11876.11538</v>
      </c>
      <c r="AN18" s="129">
        <f t="shared" si="26"/>
        <v>32.53730242</v>
      </c>
    </row>
    <row r="19">
      <c r="B19" s="1">
        <v>2009.0</v>
      </c>
      <c r="C19" s="94">
        <v>450000.0</v>
      </c>
      <c r="D19" s="94">
        <v>575000.0</v>
      </c>
      <c r="E19" s="94">
        <v>578.4</v>
      </c>
      <c r="F19" s="94"/>
      <c r="G19" s="137">
        <v>463398.0</v>
      </c>
      <c r="H19" s="94"/>
      <c r="I19" s="11"/>
      <c r="J19" s="94"/>
      <c r="K19" s="94"/>
      <c r="L19" s="94">
        <v>9799.0</v>
      </c>
      <c r="M19" s="94">
        <v>281906.0</v>
      </c>
      <c r="N19" s="94">
        <v>308779.0</v>
      </c>
      <c r="O19" s="43">
        <f t="shared" si="19"/>
        <v>1.643803254</v>
      </c>
      <c r="P19" s="43">
        <f t="shared" si="20"/>
        <v>1.50074325</v>
      </c>
      <c r="Q19" s="144">
        <v>4463.68</v>
      </c>
      <c r="W19" s="57">
        <f t="shared" si="21"/>
        <v>11876.11538</v>
      </c>
      <c r="X19" s="127">
        <v>26.0</v>
      </c>
      <c r="Y19" s="140">
        <f>N19</f>
        <v>308779</v>
      </c>
      <c r="AK19" s="141">
        <f t="shared" si="23"/>
        <v>0</v>
      </c>
      <c r="AL19" s="57">
        <f t="shared" si="24"/>
        <v>308779</v>
      </c>
      <c r="AM19" s="57">
        <f t="shared" si="25"/>
        <v>11876.11538</v>
      </c>
      <c r="AN19" s="129">
        <f t="shared" si="26"/>
        <v>32.53730242</v>
      </c>
    </row>
    <row r="20">
      <c r="B20" s="1">
        <v>2008.0</v>
      </c>
      <c r="C20" s="94">
        <v>450000.0</v>
      </c>
      <c r="D20" s="94">
        <v>575000.0</v>
      </c>
      <c r="E20" s="94">
        <v>946.6</v>
      </c>
      <c r="F20" s="94"/>
      <c r="G20" s="137">
        <v>501317.0</v>
      </c>
      <c r="H20" s="94"/>
      <c r="I20" s="11"/>
      <c r="J20" s="94"/>
      <c r="K20" s="94"/>
      <c r="L20" s="94">
        <v>17805.0</v>
      </c>
      <c r="M20" s="94">
        <v>311302.0</v>
      </c>
      <c r="N20" s="94">
        <v>315398.0</v>
      </c>
      <c r="O20" s="43">
        <f t="shared" si="19"/>
        <v>1.610387983</v>
      </c>
      <c r="P20" s="43">
        <f t="shared" si="20"/>
        <v>1.589474252</v>
      </c>
      <c r="Q20" s="11">
        <v>4910.0</v>
      </c>
      <c r="W20" s="57">
        <f t="shared" si="21"/>
        <v>21158.03846</v>
      </c>
      <c r="X20" s="127">
        <v>26.0</v>
      </c>
      <c r="Y20" s="140">
        <f t="shared" ref="Y20:Y21" si="27">N21</f>
        <v>550109</v>
      </c>
      <c r="AK20" s="141">
        <f t="shared" si="23"/>
        <v>0</v>
      </c>
      <c r="AL20" s="57">
        <f t="shared" si="24"/>
        <v>550109</v>
      </c>
      <c r="AM20" s="57">
        <f t="shared" si="25"/>
        <v>21158.03846</v>
      </c>
      <c r="AN20" s="129">
        <f t="shared" si="26"/>
        <v>57.96722866</v>
      </c>
    </row>
    <row r="21">
      <c r="B21" s="1">
        <v>2007.0</v>
      </c>
      <c r="C21" s="94">
        <v>450000.0</v>
      </c>
      <c r="D21" s="94">
        <v>575000.0</v>
      </c>
      <c r="E21" s="94">
        <v>1683.0</v>
      </c>
      <c r="F21" s="94">
        <f t="shared" ref="F21:F26" si="28">E21*0.82</f>
        <v>1380.06</v>
      </c>
      <c r="G21" s="137">
        <v>788780.0</v>
      </c>
      <c r="H21" s="94"/>
      <c r="I21" s="11"/>
      <c r="J21" s="94"/>
      <c r="K21" s="94"/>
      <c r="L21" s="94">
        <v>21008.0</v>
      </c>
      <c r="M21" s="94">
        <v>479225.0</v>
      </c>
      <c r="N21" s="94">
        <v>550109.0</v>
      </c>
      <c r="O21" s="43">
        <f t="shared" si="19"/>
        <v>1.645949189</v>
      </c>
      <c r="P21" s="43">
        <f t="shared" si="20"/>
        <v>1.433861289</v>
      </c>
      <c r="Q21" s="11">
        <v>7941.0</v>
      </c>
      <c r="W21" s="57">
        <f t="shared" si="21"/>
        <v>17615.26923</v>
      </c>
      <c r="X21" s="127">
        <v>26.0</v>
      </c>
      <c r="Y21" s="140">
        <f t="shared" si="27"/>
        <v>457997</v>
      </c>
      <c r="AK21" s="141">
        <f t="shared" si="23"/>
        <v>0</v>
      </c>
      <c r="AL21" s="57">
        <f t="shared" si="24"/>
        <v>457997</v>
      </c>
      <c r="AM21" s="57">
        <f t="shared" si="25"/>
        <v>17615.26923</v>
      </c>
      <c r="AN21" s="129">
        <f t="shared" si="26"/>
        <v>48.26101159</v>
      </c>
    </row>
    <row r="22">
      <c r="B22" s="1">
        <v>2006.0</v>
      </c>
      <c r="C22" s="94">
        <v>450000.0</v>
      </c>
      <c r="D22" s="94">
        <v>575000.0</v>
      </c>
      <c r="E22" s="94">
        <v>2462.0</v>
      </c>
      <c r="F22" s="94">
        <f t="shared" si="28"/>
        <v>2018.84</v>
      </c>
      <c r="G22" s="137">
        <v>734456.0</v>
      </c>
      <c r="H22" s="94">
        <v>97667.0</v>
      </c>
      <c r="I22" s="11">
        <v>6.71</v>
      </c>
      <c r="J22" s="94"/>
      <c r="K22" s="94"/>
      <c r="L22" s="94">
        <v>19431.0</v>
      </c>
      <c r="M22" s="94">
        <v>466173.0</v>
      </c>
      <c r="N22" s="94">
        <v>457997.0</v>
      </c>
      <c r="O22" s="43">
        <f t="shared" si="19"/>
        <v>1.575500941</v>
      </c>
      <c r="P22" s="43">
        <f t="shared" si="20"/>
        <v>1.603626225</v>
      </c>
      <c r="Q22" s="11">
        <v>7921.0</v>
      </c>
      <c r="W22" s="57">
        <f t="shared" si="21"/>
        <v>17615.26923</v>
      </c>
      <c r="X22" s="127">
        <v>26.0</v>
      </c>
      <c r="Y22" s="140">
        <f t="shared" ref="Y22:Y23" si="29">N22</f>
        <v>457997</v>
      </c>
      <c r="AK22" s="141">
        <f t="shared" si="23"/>
        <v>0</v>
      </c>
      <c r="AL22" s="57">
        <f t="shared" si="24"/>
        <v>457997</v>
      </c>
      <c r="AM22" s="57">
        <f t="shared" si="25"/>
        <v>17615.26923</v>
      </c>
      <c r="AN22" s="129">
        <f t="shared" si="26"/>
        <v>48.26101159</v>
      </c>
    </row>
    <row r="23">
      <c r="B23" s="1">
        <v>2005.0</v>
      </c>
      <c r="C23" s="94">
        <v>450000.0</v>
      </c>
      <c r="D23" s="94">
        <v>575000.0</v>
      </c>
      <c r="E23" s="94">
        <v>1943.0</v>
      </c>
      <c r="F23" s="94">
        <f t="shared" si="28"/>
        <v>1593.26</v>
      </c>
      <c r="G23" s="137">
        <v>739260.0</v>
      </c>
      <c r="H23" s="94">
        <v>86730.0</v>
      </c>
      <c r="I23" s="11">
        <v>5.26</v>
      </c>
      <c r="J23" s="94"/>
      <c r="K23" s="94"/>
      <c r="L23" s="94"/>
      <c r="M23" s="94">
        <v>440384.0</v>
      </c>
      <c r="N23" s="141">
        <f>G23/1.5</f>
        <v>492840</v>
      </c>
      <c r="O23" s="43">
        <f t="shared" si="19"/>
        <v>1.678671341</v>
      </c>
      <c r="P23" s="43">
        <f t="shared" si="20"/>
        <v>1.5</v>
      </c>
      <c r="W23" s="57">
        <f t="shared" si="21"/>
        <v>18955.38462</v>
      </c>
      <c r="X23" s="127">
        <v>26.0</v>
      </c>
      <c r="Y23" s="146">
        <f t="shared" si="29"/>
        <v>492840</v>
      </c>
      <c r="AK23" s="141">
        <f t="shared" si="23"/>
        <v>0</v>
      </c>
      <c r="AL23" s="141">
        <f t="shared" si="24"/>
        <v>492840</v>
      </c>
      <c r="AM23" s="57">
        <f t="shared" si="25"/>
        <v>18955.38462</v>
      </c>
      <c r="AN23" s="129">
        <f t="shared" si="26"/>
        <v>51.93256059</v>
      </c>
    </row>
    <row r="24">
      <c r="B24" s="147">
        <f t="shared" ref="B24:B32" si="30">B23-1</f>
        <v>2004</v>
      </c>
      <c r="C24" s="94">
        <v>450000.0</v>
      </c>
      <c r="D24" s="94">
        <v>575000.0</v>
      </c>
      <c r="E24" s="94">
        <v>2125.0</v>
      </c>
      <c r="F24" s="94">
        <f t="shared" si="28"/>
        <v>1742.5</v>
      </c>
      <c r="G24" s="137">
        <v>791866.0</v>
      </c>
      <c r="H24" s="94">
        <v>96796.0</v>
      </c>
      <c r="I24" s="11">
        <v>5.37</v>
      </c>
      <c r="J24" s="94"/>
      <c r="K24" s="94"/>
      <c r="L24" s="94"/>
      <c r="M24" s="94">
        <v>472053.0</v>
      </c>
      <c r="N24" s="123" t="s">
        <v>307</v>
      </c>
      <c r="O24" s="43">
        <f t="shared" si="19"/>
        <v>1.677493841</v>
      </c>
      <c r="P24" s="43"/>
      <c r="W24" s="57">
        <f t="shared" si="21"/>
        <v>21293.02564</v>
      </c>
      <c r="X24" s="127">
        <v>26.0</v>
      </c>
      <c r="Y24" s="140">
        <f>N25</f>
        <v>553618.6667</v>
      </c>
      <c r="AK24" s="141">
        <f t="shared" si="23"/>
        <v>0</v>
      </c>
      <c r="AL24" s="57">
        <f t="shared" si="24"/>
        <v>553618.6667</v>
      </c>
      <c r="AM24" s="57">
        <f t="shared" si="25"/>
        <v>21293.02564</v>
      </c>
      <c r="AN24" s="129">
        <f t="shared" si="26"/>
        <v>58.33705655</v>
      </c>
    </row>
    <row r="25">
      <c r="B25" s="147">
        <f t="shared" si="30"/>
        <v>2003</v>
      </c>
      <c r="C25" s="94">
        <v>450000.0</v>
      </c>
      <c r="D25" s="94">
        <v>575000.0</v>
      </c>
      <c r="E25" s="94">
        <v>2335.0</v>
      </c>
      <c r="F25" s="94">
        <f t="shared" si="28"/>
        <v>1914.7</v>
      </c>
      <c r="G25" s="137">
        <v>830428.0</v>
      </c>
      <c r="H25" s="94">
        <v>99919.0</v>
      </c>
      <c r="I25" s="11">
        <v>5.62</v>
      </c>
      <c r="J25" s="94"/>
      <c r="K25" s="94"/>
      <c r="L25" s="94"/>
      <c r="M25" s="94">
        <v>512251.0</v>
      </c>
      <c r="N25" s="148">
        <f t="shared" ref="N25:N28" si="31">G25/1.5</f>
        <v>553618.6667</v>
      </c>
      <c r="O25" s="43">
        <f t="shared" si="19"/>
        <v>1.621134951</v>
      </c>
      <c r="P25" s="43"/>
      <c r="W25" s="57">
        <f t="shared" si="21"/>
        <v>21293.02564</v>
      </c>
      <c r="X25" s="127">
        <v>26.0</v>
      </c>
      <c r="Y25" s="140">
        <f>N25</f>
        <v>553618.6667</v>
      </c>
      <c r="AK25" s="141">
        <f t="shared" si="23"/>
        <v>0</v>
      </c>
      <c r="AL25" s="57">
        <f t="shared" si="24"/>
        <v>553618.6667</v>
      </c>
      <c r="AM25" s="57">
        <f t="shared" si="25"/>
        <v>21293.02564</v>
      </c>
      <c r="AN25" s="129">
        <f t="shared" si="26"/>
        <v>58.33705655</v>
      </c>
    </row>
    <row r="26">
      <c r="B26" s="147">
        <f t="shared" si="30"/>
        <v>2002</v>
      </c>
      <c r="C26" s="94">
        <v>450000.0</v>
      </c>
      <c r="D26" s="94">
        <v>575000.0</v>
      </c>
      <c r="E26" s="94">
        <v>2178.0</v>
      </c>
      <c r="F26" s="94">
        <f t="shared" si="28"/>
        <v>1785.96</v>
      </c>
      <c r="G26" s="137">
        <v>736289.0</v>
      </c>
      <c r="I26" s="11">
        <v>5.92</v>
      </c>
      <c r="J26" s="94"/>
      <c r="K26" s="94"/>
      <c r="L26" s="94"/>
      <c r="M26" s="94">
        <v>472945.0</v>
      </c>
      <c r="N26" s="148">
        <f t="shared" si="31"/>
        <v>490859.3333</v>
      </c>
      <c r="O26" s="43">
        <f t="shared" si="19"/>
        <v>1.556817389</v>
      </c>
      <c r="P26" s="43"/>
      <c r="W26" s="57">
        <f t="shared" si="21"/>
        <v>19507.71795</v>
      </c>
      <c r="X26" s="127">
        <v>26.0</v>
      </c>
      <c r="Y26" s="140">
        <f t="shared" ref="Y26:Y27" si="32">N27</f>
        <v>507200.6667</v>
      </c>
      <c r="AK26" s="141">
        <f t="shared" si="23"/>
        <v>0</v>
      </c>
      <c r="AL26" s="57">
        <f t="shared" si="24"/>
        <v>507200.6667</v>
      </c>
      <c r="AM26" s="57">
        <f t="shared" si="25"/>
        <v>19507.71795</v>
      </c>
      <c r="AN26" s="129">
        <f t="shared" si="26"/>
        <v>53.4458026</v>
      </c>
    </row>
    <row r="27">
      <c r="B27" s="147">
        <f t="shared" si="30"/>
        <v>2001</v>
      </c>
      <c r="C27" s="94">
        <v>450000.0</v>
      </c>
      <c r="D27" s="94">
        <v>575000.0</v>
      </c>
      <c r="E27" s="94">
        <v>2362.0</v>
      </c>
      <c r="F27" s="94">
        <v>2362.0</v>
      </c>
      <c r="G27" s="137">
        <v>760801.0</v>
      </c>
      <c r="I27" s="11">
        <v>6.21</v>
      </c>
      <c r="J27" s="94"/>
      <c r="K27" s="94"/>
      <c r="L27" s="94"/>
      <c r="M27" s="94">
        <v>494460.0</v>
      </c>
      <c r="N27" s="148">
        <f t="shared" si="31"/>
        <v>507200.6667</v>
      </c>
      <c r="O27" s="43">
        <f t="shared" si="19"/>
        <v>1.538650245</v>
      </c>
      <c r="P27" s="43"/>
      <c r="W27" s="57">
        <f t="shared" si="21"/>
        <v>21695.61538</v>
      </c>
      <c r="X27" s="127">
        <v>26.0</v>
      </c>
      <c r="Y27" s="140">
        <f t="shared" si="32"/>
        <v>564086</v>
      </c>
      <c r="AK27" s="141">
        <f t="shared" si="23"/>
        <v>0</v>
      </c>
      <c r="AL27" s="57">
        <f t="shared" si="24"/>
        <v>564086</v>
      </c>
      <c r="AM27" s="57">
        <f t="shared" si="25"/>
        <v>21695.61538</v>
      </c>
      <c r="AN27" s="129">
        <f t="shared" si="26"/>
        <v>59.44004215</v>
      </c>
    </row>
    <row r="28">
      <c r="B28" s="147">
        <f t="shared" si="30"/>
        <v>2000</v>
      </c>
      <c r="C28" s="94">
        <v>450000.0</v>
      </c>
      <c r="D28" s="94">
        <v>575000.0</v>
      </c>
      <c r="E28" s="94">
        <v>2162.0</v>
      </c>
      <c r="F28" s="94">
        <v>2162.0</v>
      </c>
      <c r="G28" s="137">
        <v>846129.0</v>
      </c>
      <c r="I28" s="11">
        <v>5.11</v>
      </c>
      <c r="J28" s="94"/>
      <c r="K28" s="94"/>
      <c r="L28" s="94"/>
      <c r="M28" s="94">
        <v>539992.0</v>
      </c>
      <c r="N28" s="148">
        <f t="shared" si="31"/>
        <v>564086</v>
      </c>
      <c r="O28" s="43">
        <f t="shared" si="19"/>
        <v>1.566928769</v>
      </c>
      <c r="P28" s="43"/>
      <c r="W28" s="57">
        <f t="shared" si="21"/>
        <v>21695.61538</v>
      </c>
      <c r="X28" s="127">
        <v>26.0</v>
      </c>
      <c r="Y28" s="140">
        <f>N28</f>
        <v>564086</v>
      </c>
      <c r="AK28" s="141">
        <f t="shared" si="23"/>
        <v>0</v>
      </c>
      <c r="AL28" s="57">
        <f t="shared" si="24"/>
        <v>564086</v>
      </c>
      <c r="AM28" s="57">
        <f t="shared" si="25"/>
        <v>21695.61538</v>
      </c>
      <c r="AN28" s="129">
        <f t="shared" si="26"/>
        <v>59.44004215</v>
      </c>
    </row>
    <row r="29">
      <c r="B29" s="147">
        <f t="shared" si="30"/>
        <v>1999</v>
      </c>
      <c r="C29" s="94">
        <v>450000.0</v>
      </c>
      <c r="D29" s="94">
        <v>575000.0</v>
      </c>
      <c r="E29" s="94">
        <v>1974.0</v>
      </c>
      <c r="F29" s="94">
        <f t="shared" ref="F29:F33" si="33">E29</f>
        <v>1974</v>
      </c>
      <c r="G29" s="137">
        <v>845049.0</v>
      </c>
      <c r="I29" s="11">
        <v>4.67</v>
      </c>
      <c r="J29" s="94"/>
      <c r="K29" s="94"/>
      <c r="L29" s="94"/>
      <c r="M29" s="94">
        <v>500031.0</v>
      </c>
      <c r="N29" s="94">
        <v>435795.0</v>
      </c>
      <c r="O29" s="43">
        <f t="shared" si="19"/>
        <v>1.68999322</v>
      </c>
      <c r="P29" s="43">
        <f>G29/N29</f>
        <v>1.939097511</v>
      </c>
      <c r="W29" s="57">
        <f t="shared" si="21"/>
        <v>18702.05882</v>
      </c>
      <c r="X29" s="127">
        <v>26.0</v>
      </c>
      <c r="Y29" s="140">
        <f t="shared" ref="Y29:Y30" si="34">N30</f>
        <v>486253.5294</v>
      </c>
      <c r="AK29" s="141">
        <f t="shared" si="23"/>
        <v>0</v>
      </c>
      <c r="AL29" s="57">
        <f t="shared" si="24"/>
        <v>486253.5294</v>
      </c>
      <c r="AM29" s="57">
        <f t="shared" si="25"/>
        <v>18702.05882</v>
      </c>
      <c r="AN29" s="129">
        <f t="shared" si="26"/>
        <v>51.23851732</v>
      </c>
    </row>
    <row r="30">
      <c r="B30" s="147">
        <f t="shared" si="30"/>
        <v>1998</v>
      </c>
      <c r="C30" s="94">
        <v>450000.0</v>
      </c>
      <c r="D30" s="94">
        <v>575000.0</v>
      </c>
      <c r="E30" s="94">
        <v>1708.0</v>
      </c>
      <c r="F30" s="94">
        <f t="shared" si="33"/>
        <v>1708</v>
      </c>
      <c r="G30" s="137">
        <v>826631.0</v>
      </c>
      <c r="I30" s="11">
        <v>4.13</v>
      </c>
      <c r="J30" s="94"/>
      <c r="K30" s="94"/>
      <c r="L30" s="94"/>
      <c r="M30" s="94">
        <v>503192.0</v>
      </c>
      <c r="N30" s="148">
        <f t="shared" ref="N30:N42" si="35">G30/1.7</f>
        <v>486253.5294</v>
      </c>
      <c r="O30" s="43">
        <f t="shared" si="19"/>
        <v>1.642774527</v>
      </c>
      <c r="W30" s="57">
        <f t="shared" si="21"/>
        <v>0</v>
      </c>
      <c r="X30" s="127">
        <v>26.0</v>
      </c>
      <c r="Y30" s="140">
        <f t="shared" si="34"/>
        <v>0</v>
      </c>
      <c r="AK30" s="141">
        <f t="shared" si="23"/>
        <v>0</v>
      </c>
      <c r="AL30" s="57">
        <f t="shared" si="24"/>
        <v>0</v>
      </c>
      <c r="AM30" s="57">
        <f t="shared" si="25"/>
        <v>0</v>
      </c>
      <c r="AN30" s="129">
        <f t="shared" si="26"/>
        <v>0</v>
      </c>
    </row>
    <row r="31">
      <c r="B31" s="147">
        <f t="shared" si="30"/>
        <v>1997</v>
      </c>
      <c r="C31" s="94">
        <v>450000.0</v>
      </c>
      <c r="D31" s="94">
        <v>575000.0</v>
      </c>
      <c r="E31" s="45">
        <f>E32</f>
        <v>1837</v>
      </c>
      <c r="F31" s="94">
        <f t="shared" si="33"/>
        <v>1837</v>
      </c>
      <c r="G31" s="142"/>
      <c r="I31" s="11">
        <v>4.87</v>
      </c>
      <c r="J31" s="45"/>
      <c r="K31" s="45"/>
      <c r="L31" s="45"/>
      <c r="M31" s="45">
        <f>M32</f>
        <v>430272</v>
      </c>
      <c r="N31" s="148">
        <f t="shared" si="35"/>
        <v>0</v>
      </c>
      <c r="O31" s="149">
        <f>(O30+O32)/2</f>
        <v>1.698046679</v>
      </c>
      <c r="W31" s="57">
        <f t="shared" si="21"/>
        <v>0</v>
      </c>
      <c r="X31" s="127">
        <v>26.0</v>
      </c>
      <c r="Y31" s="140">
        <f t="shared" ref="Y31:Y39" si="36">N31</f>
        <v>0</v>
      </c>
      <c r="AK31" s="141">
        <f t="shared" si="23"/>
        <v>0</v>
      </c>
      <c r="AL31" s="57">
        <f t="shared" si="24"/>
        <v>0</v>
      </c>
      <c r="AM31" s="57">
        <f t="shared" si="25"/>
        <v>0</v>
      </c>
      <c r="AN31" s="129">
        <f t="shared" si="26"/>
        <v>0</v>
      </c>
    </row>
    <row r="32">
      <c r="B32" s="147">
        <f t="shared" si="30"/>
        <v>1996</v>
      </c>
      <c r="C32" s="94">
        <v>450000.0</v>
      </c>
      <c r="D32" s="94"/>
      <c r="E32" s="94">
        <v>1837.0</v>
      </c>
      <c r="F32" s="94">
        <f t="shared" si="33"/>
        <v>1837</v>
      </c>
      <c r="G32" s="137">
        <v>754404.0</v>
      </c>
      <c r="I32" s="11">
        <v>3.93</v>
      </c>
      <c r="J32" s="94"/>
      <c r="K32" s="94"/>
      <c r="L32" s="94"/>
      <c r="M32" s="94">
        <v>430272.0</v>
      </c>
      <c r="N32" s="148">
        <f t="shared" si="35"/>
        <v>443767.0588</v>
      </c>
      <c r="O32" s="43">
        <f>G32/M32</f>
        <v>1.753318831</v>
      </c>
      <c r="W32" s="57">
        <f t="shared" si="21"/>
        <v>17067.9638</v>
      </c>
      <c r="X32" s="127">
        <v>26.0</v>
      </c>
      <c r="Y32" s="140">
        <f t="shared" si="36"/>
        <v>443767.0588</v>
      </c>
      <c r="AK32" s="141">
        <f t="shared" si="23"/>
        <v>0</v>
      </c>
      <c r="AL32" s="57">
        <f t="shared" si="24"/>
        <v>443767.0588</v>
      </c>
      <c r="AM32" s="57">
        <f t="shared" si="25"/>
        <v>17067.9638</v>
      </c>
      <c r="AN32" s="129">
        <f t="shared" si="26"/>
        <v>46.76154466</v>
      </c>
    </row>
    <row r="33">
      <c r="B33" s="1">
        <v>1995.0</v>
      </c>
      <c r="C33" s="94">
        <v>450000.0</v>
      </c>
      <c r="D33" s="94"/>
      <c r="E33" s="94">
        <v>1696.0</v>
      </c>
      <c r="F33" s="94">
        <f t="shared" si="33"/>
        <v>1696</v>
      </c>
      <c r="G33" s="137">
        <v>735768.0</v>
      </c>
      <c r="I33" s="150">
        <f>E33/G33*2000</f>
        <v>4.610148851</v>
      </c>
      <c r="J33" s="151"/>
      <c r="K33" s="151"/>
      <c r="L33" s="151"/>
      <c r="M33" s="98">
        <v>425274.0</v>
      </c>
      <c r="N33" s="148">
        <f t="shared" si="35"/>
        <v>432804.7059</v>
      </c>
      <c r="O33" s="152">
        <v>1.64</v>
      </c>
      <c r="W33" s="57">
        <f t="shared" si="21"/>
        <v>16646.33484</v>
      </c>
      <c r="X33" s="127">
        <v>26.0</v>
      </c>
      <c r="Y33" s="140">
        <f t="shared" si="36"/>
        <v>432804.7059</v>
      </c>
      <c r="AK33" s="141">
        <f t="shared" si="23"/>
        <v>0</v>
      </c>
      <c r="AL33" s="57">
        <f t="shared" si="24"/>
        <v>432804.7059</v>
      </c>
      <c r="AM33" s="57">
        <f t="shared" si="25"/>
        <v>16646.33484</v>
      </c>
      <c r="AN33" s="129">
        <f t="shared" si="26"/>
        <v>45.60639683</v>
      </c>
    </row>
    <row r="34">
      <c r="B34" s="1">
        <v>1994.0</v>
      </c>
      <c r="C34" s="94">
        <v>450000.0</v>
      </c>
      <c r="D34" s="94"/>
      <c r="E34" s="94">
        <v>103.0</v>
      </c>
      <c r="F34" s="94"/>
      <c r="G34" s="137">
        <v>748065.0</v>
      </c>
      <c r="I34" s="11">
        <v>0.49</v>
      </c>
      <c r="J34" s="151"/>
      <c r="K34" s="151"/>
      <c r="L34" s="151"/>
      <c r="M34" s="151">
        <f t="shared" ref="M34:M36" si="37">G34/1.64</f>
        <v>456137.1951</v>
      </c>
      <c r="N34" s="148">
        <f t="shared" si="35"/>
        <v>440038.2353</v>
      </c>
      <c r="O34" s="152">
        <v>1.64</v>
      </c>
      <c r="W34" s="57">
        <f t="shared" si="21"/>
        <v>16924.54751</v>
      </c>
      <c r="X34" s="127">
        <v>26.0</v>
      </c>
      <c r="Y34" s="140">
        <f t="shared" si="36"/>
        <v>440038.2353</v>
      </c>
      <c r="AK34" s="141">
        <f t="shared" si="23"/>
        <v>0</v>
      </c>
      <c r="AM34" s="57">
        <f t="shared" si="25"/>
        <v>16924.54751</v>
      </c>
      <c r="AN34" s="129">
        <f t="shared" si="26"/>
        <v>46.36862332</v>
      </c>
    </row>
    <row r="35">
      <c r="B35" s="147">
        <f t="shared" ref="B35:B43" si="38">B34-1</f>
        <v>1993</v>
      </c>
      <c r="C35" s="94">
        <v>450000.0</v>
      </c>
      <c r="D35" s="94"/>
      <c r="E35" s="94">
        <v>47.0</v>
      </c>
      <c r="F35" s="94"/>
      <c r="G35" s="137"/>
      <c r="I35" s="11">
        <v>0.23</v>
      </c>
      <c r="J35" s="153">
        <f t="shared" ref="J35:J36" si="39">G35/K35</f>
        <v>0</v>
      </c>
      <c r="K35" s="154">
        <v>419320.0</v>
      </c>
      <c r="L35" s="98">
        <v>30716.0</v>
      </c>
      <c r="M35" s="151">
        <f t="shared" si="37"/>
        <v>0</v>
      </c>
      <c r="N35" s="148">
        <f t="shared" si="35"/>
        <v>0</v>
      </c>
      <c r="O35" s="152">
        <v>1.64</v>
      </c>
      <c r="W35" s="57">
        <f t="shared" si="21"/>
        <v>0</v>
      </c>
      <c r="X35" s="127">
        <v>26.0</v>
      </c>
      <c r="Y35" s="140">
        <f t="shared" si="36"/>
        <v>0</v>
      </c>
      <c r="AK35" s="141">
        <f t="shared" si="23"/>
        <v>0</v>
      </c>
      <c r="AM35" s="57">
        <f t="shared" si="25"/>
        <v>0</v>
      </c>
      <c r="AN35" s="129">
        <f t="shared" si="26"/>
        <v>0</v>
      </c>
    </row>
    <row r="36">
      <c r="B36" s="147">
        <f t="shared" si="38"/>
        <v>1992</v>
      </c>
      <c r="C36" s="94">
        <v>450000.0</v>
      </c>
      <c r="D36" s="94"/>
      <c r="E36" s="94">
        <v>1340.0</v>
      </c>
      <c r="F36" s="148"/>
      <c r="G36" s="155"/>
      <c r="J36" s="153">
        <f t="shared" si="39"/>
        <v>0</v>
      </c>
      <c r="K36" s="154">
        <v>403670.0</v>
      </c>
      <c r="L36" s="98">
        <v>29448.0</v>
      </c>
      <c r="M36" s="151">
        <f t="shared" si="37"/>
        <v>0</v>
      </c>
      <c r="N36" s="148">
        <f t="shared" si="35"/>
        <v>0</v>
      </c>
      <c r="O36" s="156">
        <v>1.64</v>
      </c>
      <c r="W36" s="57">
        <f t="shared" si="21"/>
        <v>0</v>
      </c>
      <c r="X36" s="127">
        <v>26.0</v>
      </c>
      <c r="Y36" s="140">
        <f t="shared" si="36"/>
        <v>0</v>
      </c>
      <c r="AK36" s="141">
        <f t="shared" si="23"/>
        <v>0</v>
      </c>
      <c r="AM36" s="57">
        <f t="shared" si="25"/>
        <v>0</v>
      </c>
      <c r="AN36" s="129">
        <f t="shared" si="26"/>
        <v>0</v>
      </c>
    </row>
    <row r="37">
      <c r="B37" s="147">
        <f t="shared" si="38"/>
        <v>1991</v>
      </c>
      <c r="C37" s="94">
        <v>450000.0</v>
      </c>
      <c r="D37" s="94"/>
      <c r="E37" s="45">
        <f>(E36+E38)/2</f>
        <v>1339.5</v>
      </c>
      <c r="F37" s="45"/>
      <c r="G37" s="142"/>
      <c r="H37" s="157"/>
      <c r="I37" s="157"/>
      <c r="J37" s="138"/>
      <c r="K37" s="154"/>
      <c r="L37" s="45"/>
      <c r="M37" s="45">
        <f>(M36+M38)/2</f>
        <v>180125</v>
      </c>
      <c r="N37" s="148">
        <f t="shared" si="35"/>
        <v>0</v>
      </c>
      <c r="O37" s="149">
        <f>(O36+O38)/2</f>
        <v>1.64</v>
      </c>
      <c r="W37" s="57">
        <f t="shared" si="21"/>
        <v>0</v>
      </c>
      <c r="X37" s="127">
        <v>26.0</v>
      </c>
      <c r="Y37" s="140">
        <f t="shared" si="36"/>
        <v>0</v>
      </c>
      <c r="AK37" s="141">
        <f t="shared" si="23"/>
        <v>0</v>
      </c>
      <c r="AM37" s="57">
        <f t="shared" si="25"/>
        <v>0</v>
      </c>
      <c r="AN37" s="129">
        <f t="shared" si="26"/>
        <v>0</v>
      </c>
    </row>
    <row r="38">
      <c r="B38" s="147">
        <f t="shared" si="38"/>
        <v>1990</v>
      </c>
      <c r="C38" s="94">
        <v>450000.0</v>
      </c>
      <c r="D38" s="94"/>
      <c r="E38" s="94">
        <v>1339.0</v>
      </c>
      <c r="F38" s="94"/>
      <c r="G38" s="137">
        <v>590810.0</v>
      </c>
      <c r="I38" s="11">
        <v>4.53</v>
      </c>
      <c r="J38" s="138">
        <f t="shared" ref="J38:J39" si="40">G38/K38</f>
        <v>1.681212456</v>
      </c>
      <c r="K38" s="154">
        <v>351419.0</v>
      </c>
      <c r="L38" s="98">
        <v>25191.0</v>
      </c>
      <c r="M38" s="45">
        <f>G38/1.64</f>
        <v>360250</v>
      </c>
      <c r="N38" s="148">
        <f t="shared" si="35"/>
        <v>347535.2941</v>
      </c>
      <c r="O38" s="152">
        <v>1.64</v>
      </c>
      <c r="W38" s="57">
        <f t="shared" si="21"/>
        <v>13366.74208</v>
      </c>
      <c r="X38" s="127">
        <v>26.0</v>
      </c>
      <c r="Y38" s="140">
        <f t="shared" si="36"/>
        <v>347535.2941</v>
      </c>
      <c r="AK38" s="141">
        <f t="shared" si="23"/>
        <v>0</v>
      </c>
      <c r="AM38" s="57">
        <f t="shared" si="25"/>
        <v>13366.74208</v>
      </c>
      <c r="AN38" s="129">
        <f t="shared" si="26"/>
        <v>36.62121118</v>
      </c>
    </row>
    <row r="39">
      <c r="B39" s="147">
        <f t="shared" si="38"/>
        <v>1989</v>
      </c>
      <c r="C39" s="94">
        <v>450000.0</v>
      </c>
      <c r="D39" s="94"/>
      <c r="E39" s="94">
        <v>501.0</v>
      </c>
      <c r="F39" s="94"/>
      <c r="G39" s="137">
        <v>624874.0</v>
      </c>
      <c r="I39" s="11">
        <v>1.6</v>
      </c>
      <c r="J39" s="138">
        <f t="shared" si="40"/>
        <v>1.78374382</v>
      </c>
      <c r="K39" s="154">
        <v>350316.0</v>
      </c>
      <c r="L39" s="158">
        <v>25101.0</v>
      </c>
      <c r="M39" s="94">
        <v>385921.0</v>
      </c>
      <c r="N39" s="148">
        <f t="shared" si="35"/>
        <v>367572.9412</v>
      </c>
      <c r="O39" s="43">
        <f>G39/M39</f>
        <v>1.619175945</v>
      </c>
      <c r="Y39" s="140">
        <f t="shared" si="36"/>
        <v>367572.9412</v>
      </c>
      <c r="AK39" s="141">
        <f t="shared" si="23"/>
        <v>0</v>
      </c>
    </row>
    <row r="40">
      <c r="B40" s="147">
        <f t="shared" si="38"/>
        <v>1988</v>
      </c>
      <c r="C40" s="94">
        <v>450000.0</v>
      </c>
      <c r="D40" s="94"/>
      <c r="E40" s="45">
        <f>(E39+E41)/2</f>
        <v>479.5</v>
      </c>
      <c r="F40" s="45"/>
      <c r="G40" s="142"/>
      <c r="I40" s="149">
        <f>(I39+I41)/2</f>
        <v>1.73</v>
      </c>
      <c r="J40" s="159"/>
      <c r="K40" s="160"/>
      <c r="L40" s="45"/>
      <c r="M40" s="45">
        <f>(M39+M41)/2</f>
        <v>369041</v>
      </c>
      <c r="N40" s="148">
        <f t="shared" si="35"/>
        <v>0</v>
      </c>
      <c r="O40" s="149">
        <f>(O39+O41)/2</f>
        <v>1.509966493</v>
      </c>
      <c r="AK40" s="141">
        <f t="shared" si="23"/>
        <v>0</v>
      </c>
    </row>
    <row r="41">
      <c r="B41" s="147">
        <f t="shared" si="38"/>
        <v>1987</v>
      </c>
      <c r="C41" s="94">
        <v>450000.0</v>
      </c>
      <c r="D41" s="94"/>
      <c r="E41" s="94">
        <v>458.0</v>
      </c>
      <c r="F41" s="94"/>
      <c r="G41" s="137">
        <v>493292.0</v>
      </c>
      <c r="I41" s="11">
        <v>1.86</v>
      </c>
      <c r="J41" s="138">
        <f>G41/K41</f>
        <v>1.344482572</v>
      </c>
      <c r="K41" s="121">
        <v>366901.0</v>
      </c>
      <c r="L41" s="158">
        <v>26452.0</v>
      </c>
      <c r="M41" s="94">
        <v>352161.0</v>
      </c>
      <c r="N41" s="148">
        <f t="shared" si="35"/>
        <v>290171.7647</v>
      </c>
      <c r="O41" s="43">
        <f t="shared" ref="O41:O44" si="41">G41/M41</f>
        <v>1.40075704</v>
      </c>
      <c r="AK41" s="141">
        <f t="shared" si="23"/>
        <v>0</v>
      </c>
    </row>
    <row r="42">
      <c r="B42" s="147">
        <f t="shared" si="38"/>
        <v>1986</v>
      </c>
      <c r="C42" s="94">
        <v>450000.0</v>
      </c>
      <c r="D42" s="94"/>
      <c r="E42" s="94">
        <v>488.0</v>
      </c>
      <c r="F42" s="94"/>
      <c r="G42" s="137">
        <v>624573.0</v>
      </c>
      <c r="I42" s="11">
        <v>1.56</v>
      </c>
      <c r="J42" s="161"/>
      <c r="K42" s="121"/>
      <c r="L42" s="94"/>
      <c r="M42" s="94">
        <v>375197.0</v>
      </c>
      <c r="N42" s="148">
        <f t="shared" si="35"/>
        <v>367395.8824</v>
      </c>
      <c r="O42" s="43">
        <f t="shared" si="41"/>
        <v>1.664653502</v>
      </c>
      <c r="AK42" s="141">
        <f t="shared" si="23"/>
        <v>0</v>
      </c>
    </row>
    <row r="43">
      <c r="B43" s="147">
        <f t="shared" si="38"/>
        <v>1985</v>
      </c>
      <c r="C43" s="94">
        <v>450000.0</v>
      </c>
      <c r="D43" s="94"/>
      <c r="E43" s="94">
        <v>549.0</v>
      </c>
      <c r="F43" s="94"/>
      <c r="G43" s="137">
        <v>784705.0</v>
      </c>
      <c r="I43" s="11">
        <v>1.4</v>
      </c>
      <c r="J43" s="138">
        <f t="shared" ref="J43:J44" si="42">G43/K43</f>
        <v>1.764143181</v>
      </c>
      <c r="K43" s="121">
        <v>444808.0</v>
      </c>
      <c r="L43" s="158">
        <v>32800.0</v>
      </c>
      <c r="M43" s="94">
        <v>444808.0</v>
      </c>
      <c r="N43" s="11">
        <v>422593.0</v>
      </c>
      <c r="O43" s="43">
        <f t="shared" si="41"/>
        <v>1.764143181</v>
      </c>
      <c r="AK43" s="141">
        <f t="shared" si="23"/>
        <v>0</v>
      </c>
    </row>
    <row r="44">
      <c r="B44" s="1">
        <v>1984.0</v>
      </c>
      <c r="C44" s="94">
        <v>450000.0</v>
      </c>
      <c r="D44" s="94"/>
      <c r="E44" s="94">
        <v>540.0</v>
      </c>
      <c r="F44" s="94"/>
      <c r="G44" s="137">
        <v>712760.0</v>
      </c>
      <c r="I44" s="11">
        <v>1.51</v>
      </c>
      <c r="J44" s="138">
        <f t="shared" si="42"/>
        <v>1.811435455</v>
      </c>
      <c r="K44" s="121">
        <v>393478.0</v>
      </c>
      <c r="L44" s="158">
        <v>28618.0</v>
      </c>
      <c r="M44" s="94">
        <v>393478.0</v>
      </c>
      <c r="N44" s="11">
        <v>415119.0</v>
      </c>
      <c r="O44" s="43">
        <f t="shared" si="41"/>
        <v>1.811435455</v>
      </c>
      <c r="AK44" s="141">
        <f t="shared" si="23"/>
        <v>0</v>
      </c>
    </row>
    <row r="45">
      <c r="B45" s="1">
        <v>1983.0</v>
      </c>
      <c r="C45" s="94">
        <v>450000.0</v>
      </c>
      <c r="D45" s="94"/>
      <c r="E45" s="94"/>
      <c r="F45" s="94"/>
      <c r="G45" s="137"/>
      <c r="I45" s="11"/>
      <c r="J45" s="121"/>
      <c r="K45" s="121">
        <v>413300.0</v>
      </c>
      <c r="L45" s="158">
        <v>30233.0</v>
      </c>
      <c r="M45" s="94"/>
      <c r="N45" s="11"/>
      <c r="O45" s="43"/>
    </row>
    <row r="46">
      <c r="B46" s="1">
        <v>1979.0</v>
      </c>
      <c r="C46" s="94">
        <v>450000.0</v>
      </c>
      <c r="D46" s="94"/>
      <c r="E46" s="94">
        <v>277.0</v>
      </c>
      <c r="F46" s="57"/>
      <c r="G46" s="57"/>
      <c r="AK46" s="141">
        <f t="shared" ref="AK46:AK47" si="43">SUM(AA46:AJ46)</f>
        <v>0</v>
      </c>
    </row>
    <row r="47">
      <c r="B47" s="1">
        <v>1973.0</v>
      </c>
      <c r="C47" s="94">
        <v>450000.0</v>
      </c>
      <c r="D47" s="94"/>
      <c r="E47" s="94">
        <v>520.0</v>
      </c>
      <c r="F47" s="57"/>
      <c r="G47" s="57"/>
      <c r="AK47" s="141">
        <f t="shared" si="43"/>
        <v>0</v>
      </c>
    </row>
  </sheetData>
  <printOptions gridLines="1" horizontalCentered="1"/>
  <pageMargins bottom="0.75" footer="0.0" header="0.0" left="0.7" right="0.7" top="0.75"/>
  <pageSetup cellComments="atEnd" orientation="landscape" pageOrder="overThenDown"/>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0"/>
  </cols>
  <sheetData>
    <row r="3">
      <c r="B3" s="1" t="s">
        <v>308</v>
      </c>
      <c r="C3" s="11" t="s">
        <v>259</v>
      </c>
      <c r="D3" s="11" t="s">
        <v>309</v>
      </c>
      <c r="E3" s="11" t="s">
        <v>310</v>
      </c>
    </row>
    <row r="4">
      <c r="B4" s="1" t="s">
        <v>311</v>
      </c>
      <c r="C4" s="11" t="s">
        <v>264</v>
      </c>
    </row>
    <row r="5">
      <c r="C5" s="11" t="s">
        <v>312</v>
      </c>
      <c r="D5" s="11" t="s">
        <v>313</v>
      </c>
    </row>
    <row r="6">
      <c r="C6" s="11" t="s">
        <v>314</v>
      </c>
      <c r="D6" s="11" t="s">
        <v>315</v>
      </c>
    </row>
    <row r="8">
      <c r="B8" s="115" t="s">
        <v>316</v>
      </c>
    </row>
    <row r="9">
      <c r="B9" s="11" t="s">
        <v>317</v>
      </c>
      <c r="C9" s="11" t="s">
        <v>318</v>
      </c>
    </row>
    <row r="10">
      <c r="B10" s="11" t="s">
        <v>319</v>
      </c>
      <c r="C10" s="11" t="s">
        <v>320</v>
      </c>
    </row>
    <row r="11">
      <c r="B11" s="11" t="s">
        <v>321</v>
      </c>
      <c r="C11" s="11" t="s">
        <v>322</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15.5"/>
    <col customWidth="1" min="4" max="4" width="25.5"/>
    <col customWidth="1" min="5" max="5" width="24.0"/>
    <col customWidth="1" min="6" max="7" width="15.5"/>
    <col customWidth="1" min="8" max="8" width="14.25"/>
    <col customWidth="1" min="9" max="9" width="41.5"/>
    <col customWidth="1" min="10" max="10" width="30.13"/>
    <col customWidth="1" min="11" max="11" width="28.0"/>
  </cols>
  <sheetData>
    <row r="4">
      <c r="B4" s="2" t="s">
        <v>1</v>
      </c>
      <c r="C4" s="2" t="s">
        <v>2</v>
      </c>
      <c r="D4" s="2" t="s">
        <v>3</v>
      </c>
      <c r="E4" s="2" t="s">
        <v>4</v>
      </c>
      <c r="F4" s="2" t="s">
        <v>5</v>
      </c>
      <c r="G4" s="2" t="s">
        <v>6</v>
      </c>
      <c r="H4" s="2" t="s">
        <v>7</v>
      </c>
      <c r="I4" s="2" t="s">
        <v>8</v>
      </c>
      <c r="J4" s="162" t="s">
        <v>323</v>
      </c>
    </row>
    <row r="5">
      <c r="B5" s="3" t="s">
        <v>9</v>
      </c>
      <c r="C5" s="4" t="s">
        <v>10</v>
      </c>
      <c r="D5" s="5" t="s">
        <v>11</v>
      </c>
      <c r="E5" s="5" t="s">
        <v>324</v>
      </c>
      <c r="F5" s="6">
        <f t="shared" ref="F5:F7" si="1">G5*H5/25*2</f>
        <v>2520000</v>
      </c>
      <c r="G5" s="163">
        <v>350000.0</v>
      </c>
      <c r="H5" s="7">
        <v>90.0</v>
      </c>
      <c r="I5" s="5" t="s">
        <v>13</v>
      </c>
    </row>
    <row r="6">
      <c r="B6" s="8"/>
      <c r="C6" s="9" t="s">
        <v>14</v>
      </c>
      <c r="D6" s="5" t="s">
        <v>11</v>
      </c>
      <c r="E6" s="5" t="s">
        <v>324</v>
      </c>
      <c r="F6" s="6">
        <f t="shared" si="1"/>
        <v>980000</v>
      </c>
      <c r="G6" s="163">
        <v>350000.0</v>
      </c>
      <c r="H6" s="7">
        <v>35.0</v>
      </c>
      <c r="I6" s="5" t="s">
        <v>15</v>
      </c>
    </row>
    <row r="7">
      <c r="B7" s="3" t="s">
        <v>16</v>
      </c>
      <c r="C7" s="4" t="s">
        <v>10</v>
      </c>
      <c r="D7" s="5" t="s">
        <v>17</v>
      </c>
      <c r="E7" s="5" t="s">
        <v>324</v>
      </c>
      <c r="F7" s="6">
        <f t="shared" si="1"/>
        <v>2520000</v>
      </c>
      <c r="G7" s="163">
        <v>350000.0</v>
      </c>
      <c r="H7" s="7">
        <v>90.0</v>
      </c>
      <c r="I7" s="5" t="s">
        <v>13</v>
      </c>
    </row>
    <row r="8">
      <c r="B8" s="8"/>
      <c r="C8" s="9" t="s">
        <v>14</v>
      </c>
      <c r="D8" s="5" t="s">
        <v>18</v>
      </c>
      <c r="E8" s="5" t="s">
        <v>19</v>
      </c>
      <c r="F8" s="6" t="s">
        <v>20</v>
      </c>
      <c r="G8" s="163">
        <v>350000.0</v>
      </c>
      <c r="H8" s="7">
        <v>1.5</v>
      </c>
      <c r="I8" s="5" t="s">
        <v>21</v>
      </c>
    </row>
    <row r="9">
      <c r="B9" s="10" t="s">
        <v>22</v>
      </c>
      <c r="C9" s="11" t="s">
        <v>23</v>
      </c>
      <c r="D9" s="5" t="s">
        <v>18</v>
      </c>
      <c r="E9" s="5" t="s">
        <v>19</v>
      </c>
      <c r="F9" s="6" t="s">
        <v>20</v>
      </c>
      <c r="G9" s="163">
        <v>350000.0</v>
      </c>
      <c r="H9" s="7">
        <v>1.5</v>
      </c>
      <c r="I9" s="5" t="s">
        <v>21</v>
      </c>
      <c r="J9" s="52" t="s">
        <v>325</v>
      </c>
    </row>
    <row r="10">
      <c r="B10" s="12"/>
      <c r="C10" s="11" t="s">
        <v>14</v>
      </c>
      <c r="D10" s="5" t="s">
        <v>18</v>
      </c>
      <c r="E10" s="5" t="s">
        <v>19</v>
      </c>
      <c r="F10" s="6" t="s">
        <v>20</v>
      </c>
      <c r="G10" s="163">
        <v>350000.0</v>
      </c>
      <c r="H10" s="7">
        <v>1.5</v>
      </c>
      <c r="I10" s="5" t="s">
        <v>21</v>
      </c>
      <c r="J10" s="52" t="s">
        <v>326</v>
      </c>
    </row>
    <row r="11">
      <c r="B11" s="3" t="s">
        <v>24</v>
      </c>
      <c r="C11" s="4" t="s">
        <v>23</v>
      </c>
      <c r="D11" s="5" t="s">
        <v>18</v>
      </c>
      <c r="E11" s="5" t="s">
        <v>327</v>
      </c>
      <c r="F11" s="6" t="s">
        <v>20</v>
      </c>
      <c r="G11" s="163">
        <v>350000.0</v>
      </c>
      <c r="H11" s="7">
        <v>1.0</v>
      </c>
      <c r="I11" s="5" t="s">
        <v>26</v>
      </c>
    </row>
    <row r="12">
      <c r="B12" s="13"/>
      <c r="C12" s="9" t="s">
        <v>14</v>
      </c>
      <c r="D12" s="5" t="s">
        <v>18</v>
      </c>
      <c r="E12" s="5" t="s">
        <v>327</v>
      </c>
      <c r="F12" s="6" t="s">
        <v>20</v>
      </c>
      <c r="G12" s="163">
        <v>350000.0</v>
      </c>
      <c r="H12" s="7">
        <v>1.0</v>
      </c>
      <c r="I12" s="5" t="s">
        <v>26</v>
      </c>
    </row>
    <row r="13">
      <c r="B13" s="3" t="s">
        <v>328</v>
      </c>
      <c r="C13" s="4" t="s">
        <v>10</v>
      </c>
      <c r="D13" s="5" t="s">
        <v>11</v>
      </c>
      <c r="E13" s="5" t="s">
        <v>324</v>
      </c>
      <c r="F13" s="6">
        <f>G13*H13/25*2</f>
        <v>132000</v>
      </c>
      <c r="G13" s="163">
        <f>6000*25</f>
        <v>150000</v>
      </c>
      <c r="H13" s="7">
        <v>11.0</v>
      </c>
      <c r="I13" s="5" t="s">
        <v>28</v>
      </c>
      <c r="J13" s="52" t="s">
        <v>329</v>
      </c>
    </row>
    <row r="14">
      <c r="B14" s="13"/>
      <c r="C14" s="9" t="s">
        <v>14</v>
      </c>
      <c r="D14" s="5" t="s">
        <v>18</v>
      </c>
      <c r="E14" s="5" t="s">
        <v>327</v>
      </c>
      <c r="F14" s="6" t="s">
        <v>20</v>
      </c>
      <c r="G14" s="163">
        <v>550000.0</v>
      </c>
      <c r="H14" s="7">
        <v>1.0</v>
      </c>
      <c r="I14" s="5" t="s">
        <v>26</v>
      </c>
      <c r="J14" s="52" t="s">
        <v>330</v>
      </c>
    </row>
    <row r="15">
      <c r="B15" s="3" t="s">
        <v>29</v>
      </c>
      <c r="C15" s="11" t="s">
        <v>10</v>
      </c>
      <c r="D15" s="5" t="s">
        <v>18</v>
      </c>
      <c r="E15" s="5" t="s">
        <v>327</v>
      </c>
      <c r="F15" s="6" t="s">
        <v>20</v>
      </c>
      <c r="G15" s="163">
        <v>350000.0</v>
      </c>
      <c r="H15" s="7">
        <v>1.0</v>
      </c>
      <c r="I15" s="5" t="s">
        <v>26</v>
      </c>
    </row>
    <row r="16">
      <c r="B16" s="13"/>
      <c r="C16" s="9" t="s">
        <v>14</v>
      </c>
      <c r="D16" s="5" t="s">
        <v>18</v>
      </c>
      <c r="E16" s="5" t="s">
        <v>327</v>
      </c>
      <c r="F16" s="6" t="s">
        <v>20</v>
      </c>
      <c r="G16" s="163">
        <v>350000.0</v>
      </c>
      <c r="H16" s="7">
        <v>1.0</v>
      </c>
      <c r="I16" s="5" t="s">
        <v>26</v>
      </c>
    </row>
    <row r="22">
      <c r="B22" s="1" t="s">
        <v>331</v>
      </c>
    </row>
    <row r="23">
      <c r="B23" s="11" t="s">
        <v>332</v>
      </c>
    </row>
    <row r="24">
      <c r="B24" s="11" t="s">
        <v>333</v>
      </c>
    </row>
    <row r="25">
      <c r="B25" s="11" t="s">
        <v>334</v>
      </c>
    </row>
    <row r="26">
      <c r="B26" s="11" t="s">
        <v>335</v>
      </c>
    </row>
  </sheetData>
  <hyperlinks>
    <hyperlink r:id="rId1" ref="J9"/>
    <hyperlink r:id="rId2" ref="J10"/>
    <hyperlink r:id="rId3" ref="J13"/>
    <hyperlink r:id="rId4" ref="J14"/>
  </hyperlinks>
  <drawing r:id="rId5"/>
</worksheet>
</file>